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\Documents\"/>
    </mc:Choice>
  </mc:AlternateContent>
  <bookViews>
    <workbookView xWindow="0" yWindow="0" windowWidth="20490" windowHeight="7410"/>
  </bookViews>
  <sheets>
    <sheet name="Hoja1" sheetId="1" r:id="rId1"/>
  </sheets>
  <definedNames>
    <definedName name="_xlnm._FilterDatabase" localSheetId="0" hidden="1">Hoja1!$B$13:$N$241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1" i="1" l="1"/>
  <c r="I231" i="1"/>
  <c r="I227" i="1"/>
  <c r="I192" i="1"/>
  <c r="I167" i="1"/>
  <c r="I164" i="1"/>
  <c r="J164" i="1"/>
  <c r="I163" i="1"/>
  <c r="J157" i="1"/>
  <c r="I155" i="1"/>
  <c r="I139" i="1"/>
  <c r="I137" i="1"/>
  <c r="I93" i="1"/>
  <c r="I90" i="1"/>
  <c r="I89" i="1"/>
  <c r="I87" i="1"/>
  <c r="H87" i="1"/>
  <c r="I82" i="1"/>
  <c r="I61" i="1"/>
  <c r="I59" i="1"/>
  <c r="I54" i="1"/>
  <c r="J35" i="1"/>
  <c r="H31" i="1"/>
  <c r="I29" i="1" l="1"/>
  <c r="I25" i="1"/>
  <c r="I24" i="1"/>
  <c r="H23" i="1"/>
  <c r="I23" i="1"/>
  <c r="I22" i="1" l="1"/>
  <c r="J15" i="1" l="1"/>
  <c r="L15" i="1" s="1"/>
  <c r="J16" i="1"/>
  <c r="L16" i="1"/>
  <c r="M16" i="1" s="1"/>
  <c r="F17" i="1"/>
  <c r="H17" i="1"/>
  <c r="J17" i="1" s="1"/>
  <c r="L17" i="1" s="1"/>
  <c r="J18" i="1"/>
  <c r="L18" i="1"/>
  <c r="N18" i="1" s="1"/>
  <c r="M18" i="1"/>
  <c r="M15" i="1" l="1"/>
  <c r="N15" i="1" s="1"/>
  <c r="M17" i="1"/>
  <c r="N17" i="1" s="1"/>
  <c r="N16" i="1"/>
  <c r="B222" i="1" l="1"/>
  <c r="B205" i="1" s="1"/>
  <c r="B220" i="1"/>
  <c r="B202" i="1"/>
  <c r="B150" i="1"/>
  <c r="B152" i="1" s="1"/>
  <c r="B154" i="1"/>
  <c r="B160" i="1"/>
  <c r="B161" i="1" s="1"/>
  <c r="B34" i="1"/>
  <c r="B89" i="1"/>
  <c r="B113" i="1"/>
  <c r="B114" i="1" s="1"/>
  <c r="B213" i="1"/>
  <c r="B214" i="1"/>
  <c r="B215" i="1" s="1"/>
  <c r="B216" i="1" s="1"/>
  <c r="B62" i="1"/>
  <c r="B63" i="1" s="1"/>
  <c r="B64" i="1" s="1"/>
  <c r="B170" i="1"/>
  <c r="B78" i="1"/>
  <c r="B80" i="1" s="1"/>
  <c r="B81" i="1" s="1"/>
  <c r="B79" i="1"/>
  <c r="B217" i="1" l="1"/>
  <c r="B151" i="1"/>
  <c r="B153" i="1" s="1"/>
  <c r="J181" i="1" l="1"/>
  <c r="L181" i="1" s="1"/>
  <c r="J55" i="1"/>
  <c r="L55" i="1" s="1"/>
  <c r="J180" i="1"/>
  <c r="L180" i="1" s="1"/>
  <c r="J179" i="1"/>
  <c r="L179" i="1" s="1"/>
  <c r="J31" i="1"/>
  <c r="L31" i="1" s="1"/>
  <c r="J178" i="1"/>
  <c r="L178" i="1" s="1"/>
  <c r="M178" i="1" s="1"/>
  <c r="J177" i="1"/>
  <c r="L177" i="1" s="1"/>
  <c r="J176" i="1"/>
  <c r="L176" i="1" s="1"/>
  <c r="M176" i="1" s="1"/>
  <c r="H54" i="1"/>
  <c r="J54" i="1" s="1"/>
  <c r="L54" i="1" s="1"/>
  <c r="I26" i="1"/>
  <c r="H26" i="1"/>
  <c r="J26" i="1" s="1"/>
  <c r="L26" i="1" s="1"/>
  <c r="H25" i="1"/>
  <c r="J53" i="1"/>
  <c r="L53" i="1" s="1"/>
  <c r="J24" i="1"/>
  <c r="L24" i="1" s="1"/>
  <c r="J29" i="1"/>
  <c r="L29" i="1" s="1"/>
  <c r="H29" i="1"/>
  <c r="J23" i="1"/>
  <c r="L23" i="1" s="1"/>
  <c r="J137" i="1"/>
  <c r="L137" i="1" s="1"/>
  <c r="H137" i="1"/>
  <c r="J30" i="1"/>
  <c r="L30" i="1" s="1"/>
  <c r="J172" i="1"/>
  <c r="L172" i="1" s="1"/>
  <c r="J171" i="1"/>
  <c r="L171" i="1" s="1"/>
  <c r="I171" i="1"/>
  <c r="J92" i="1"/>
  <c r="L92" i="1" s="1"/>
  <c r="M92" i="1" s="1"/>
  <c r="N92" i="1" s="1"/>
  <c r="J91" i="1"/>
  <c r="L91" i="1" s="1"/>
  <c r="M91" i="1" s="1"/>
  <c r="N91" i="1" s="1"/>
  <c r="J57" i="1"/>
  <c r="L57" i="1" s="1"/>
  <c r="M57" i="1" s="1"/>
  <c r="N57" i="1" s="1"/>
  <c r="H27" i="1"/>
  <c r="J27" i="1" s="1"/>
  <c r="L27" i="1" s="1"/>
  <c r="M27" i="1" s="1"/>
  <c r="J94" i="1"/>
  <c r="L94" i="1" s="1"/>
  <c r="J19" i="1"/>
  <c r="L19" i="1" s="1"/>
  <c r="M19" i="1" s="1"/>
  <c r="J21" i="1"/>
  <c r="L21" i="1" s="1"/>
  <c r="H21" i="1"/>
  <c r="J173" i="1"/>
  <c r="L173" i="1" s="1"/>
  <c r="J34" i="1"/>
  <c r="L34" i="1" s="1"/>
  <c r="J89" i="1"/>
  <c r="L89" i="1" s="1"/>
  <c r="J138" i="1"/>
  <c r="L138" i="1" s="1"/>
  <c r="J88" i="1"/>
  <c r="L88" i="1" s="1"/>
  <c r="J86" i="1"/>
  <c r="L86" i="1" s="1"/>
  <c r="M86" i="1" s="1"/>
  <c r="J139" i="1"/>
  <c r="L139" i="1" s="1"/>
  <c r="J170" i="1"/>
  <c r="L170" i="1" s="1"/>
  <c r="D170" i="1"/>
  <c r="J169" i="1"/>
  <c r="L169" i="1" s="1"/>
  <c r="J168" i="1"/>
  <c r="L168" i="1" s="1"/>
  <c r="H90" i="1"/>
  <c r="J85" i="1"/>
  <c r="L85" i="1" s="1"/>
  <c r="H33" i="1"/>
  <c r="J33" i="1" s="1"/>
  <c r="L33" i="1" s="1"/>
  <c r="J174" i="1"/>
  <c r="L174" i="1" s="1"/>
  <c r="M174" i="1" s="1"/>
  <c r="J20" i="1"/>
  <c r="L20" i="1" s="1"/>
  <c r="J28" i="1"/>
  <c r="L28" i="1" s="1"/>
  <c r="M28" i="1" s="1"/>
  <c r="J167" i="1"/>
  <c r="L167" i="1" s="1"/>
  <c r="J56" i="1"/>
  <c r="L56" i="1" s="1"/>
  <c r="M56" i="1" s="1"/>
  <c r="J227" i="1"/>
  <c r="L227" i="1" s="1"/>
  <c r="J106" i="1"/>
  <c r="L106" i="1" s="1"/>
  <c r="J105" i="1"/>
  <c r="L105" i="1" s="1"/>
  <c r="M105" i="1" s="1"/>
  <c r="J104" i="1"/>
  <c r="L104" i="1" s="1"/>
  <c r="J103" i="1"/>
  <c r="L103" i="1" s="1"/>
  <c r="J102" i="1"/>
  <c r="L102" i="1" s="1"/>
  <c r="J101" i="1"/>
  <c r="L101" i="1" s="1"/>
  <c r="M101" i="1" s="1"/>
  <c r="J100" i="1"/>
  <c r="L100" i="1" s="1"/>
  <c r="J99" i="1"/>
  <c r="L99" i="1" s="1"/>
  <c r="M99" i="1" s="1"/>
  <c r="J98" i="1"/>
  <c r="L98" i="1" s="1"/>
  <c r="J97" i="1"/>
  <c r="L97" i="1" s="1"/>
  <c r="M97" i="1" s="1"/>
  <c r="J96" i="1"/>
  <c r="L96" i="1" s="1"/>
  <c r="J95" i="1"/>
  <c r="L95" i="1" s="1"/>
  <c r="M95" i="1" s="1"/>
  <c r="J212" i="1"/>
  <c r="L212" i="1" s="1"/>
  <c r="J211" i="1"/>
  <c r="L211" i="1" s="1"/>
  <c r="J210" i="1"/>
  <c r="L210" i="1" s="1"/>
  <c r="J209" i="1"/>
  <c r="L209" i="1" s="1"/>
  <c r="J208" i="1"/>
  <c r="L208" i="1" s="1"/>
  <c r="J207" i="1"/>
  <c r="L207" i="1" s="1"/>
  <c r="M207" i="1" s="1"/>
  <c r="J206" i="1"/>
  <c r="L206" i="1" s="1"/>
  <c r="M42" i="1"/>
  <c r="N42" i="1" s="1"/>
  <c r="H42" i="1"/>
  <c r="J42" i="1" s="1"/>
  <c r="M41" i="1"/>
  <c r="N41" i="1" s="1"/>
  <c r="H41" i="1"/>
  <c r="M40" i="1"/>
  <c r="N40" i="1" s="1"/>
  <c r="H40" i="1"/>
  <c r="M39" i="1"/>
  <c r="N39" i="1" s="1"/>
  <c r="J39" i="1"/>
  <c r="H39" i="1"/>
  <c r="N38" i="1"/>
  <c r="J38" i="1"/>
  <c r="H38" i="1"/>
  <c r="N37" i="1"/>
  <c r="H37" i="1"/>
  <c r="J37" i="1" s="1"/>
  <c r="N36" i="1"/>
  <c r="H36" i="1"/>
  <c r="J36" i="1" s="1"/>
  <c r="N35" i="1"/>
  <c r="H35" i="1"/>
  <c r="N46" i="1"/>
  <c r="N45" i="1"/>
  <c r="J45" i="1"/>
  <c r="N44" i="1"/>
  <c r="N43" i="1"/>
  <c r="J43" i="1"/>
  <c r="J136" i="1"/>
  <c r="L136" i="1" s="1"/>
  <c r="J135" i="1"/>
  <c r="L135" i="1" s="1"/>
  <c r="J134" i="1"/>
  <c r="L134" i="1" s="1"/>
  <c r="J133" i="1"/>
  <c r="L133" i="1" s="1"/>
  <c r="I52" i="1"/>
  <c r="J52" i="1" s="1"/>
  <c r="L52" i="1" s="1"/>
  <c r="N52" i="1" s="1"/>
  <c r="J51" i="1"/>
  <c r="L51" i="1" s="1"/>
  <c r="J50" i="1"/>
  <c r="L50" i="1" s="1"/>
  <c r="J49" i="1"/>
  <c r="L49" i="1" s="1"/>
  <c r="H32" i="1"/>
  <c r="J32" i="1" s="1"/>
  <c r="L32" i="1" s="1"/>
  <c r="M32" i="1" s="1"/>
  <c r="J132" i="1"/>
  <c r="L132" i="1" s="1"/>
  <c r="J131" i="1"/>
  <c r="L131" i="1" s="1"/>
  <c r="J130" i="1"/>
  <c r="L130" i="1" s="1"/>
  <c r="M130" i="1" s="1"/>
  <c r="J129" i="1"/>
  <c r="L129" i="1" s="1"/>
  <c r="M129" i="1" s="1"/>
  <c r="N129" i="1" s="1"/>
  <c r="J128" i="1"/>
  <c r="L128" i="1" s="1"/>
  <c r="J127" i="1"/>
  <c r="L127" i="1" s="1"/>
  <c r="J126" i="1"/>
  <c r="L126" i="1" s="1"/>
  <c r="M126" i="1" s="1"/>
  <c r="N126" i="1" s="1"/>
  <c r="J125" i="1"/>
  <c r="L125" i="1" s="1"/>
  <c r="F125" i="1"/>
  <c r="F126" i="1" s="1"/>
  <c r="F128" i="1" s="1"/>
  <c r="F129" i="1" s="1"/>
  <c r="J124" i="1"/>
  <c r="L124" i="1" s="1"/>
  <c r="M124" i="1" s="1"/>
  <c r="N124" i="1" s="1"/>
  <c r="J123" i="1"/>
  <c r="L123" i="1" s="1"/>
  <c r="J122" i="1"/>
  <c r="L122" i="1" s="1"/>
  <c r="M122" i="1" s="1"/>
  <c r="N122" i="1" s="1"/>
  <c r="J121" i="1"/>
  <c r="L121" i="1" s="1"/>
  <c r="M121" i="1" s="1"/>
  <c r="J120" i="1"/>
  <c r="L120" i="1" s="1"/>
  <c r="M120" i="1" s="1"/>
  <c r="N120" i="1" s="1"/>
  <c r="J119" i="1"/>
  <c r="L119" i="1" s="1"/>
  <c r="M119" i="1" s="1"/>
  <c r="J118" i="1"/>
  <c r="L118" i="1" s="1"/>
  <c r="M118" i="1" s="1"/>
  <c r="N118" i="1" s="1"/>
  <c r="J117" i="1"/>
  <c r="L117" i="1" s="1"/>
  <c r="J48" i="1"/>
  <c r="L48" i="1" s="1"/>
  <c r="M48" i="1" s="1"/>
  <c r="N48" i="1" s="1"/>
  <c r="J47" i="1"/>
  <c r="L47" i="1" s="1"/>
  <c r="M47" i="1" s="1"/>
  <c r="J108" i="1"/>
  <c r="L108" i="1" s="1"/>
  <c r="M108" i="1" s="1"/>
  <c r="J107" i="1"/>
  <c r="L107" i="1" s="1"/>
  <c r="J69" i="1"/>
  <c r="L69" i="1" s="1"/>
  <c r="M69" i="1" s="1"/>
  <c r="N69" i="1" s="1"/>
  <c r="J66" i="1"/>
  <c r="L66" i="1" s="1"/>
  <c r="M66" i="1" s="1"/>
  <c r="J68" i="1"/>
  <c r="L68" i="1" s="1"/>
  <c r="M68" i="1" s="1"/>
  <c r="N68" i="1" s="1"/>
  <c r="J67" i="1"/>
  <c r="L67" i="1" s="1"/>
  <c r="J235" i="1"/>
  <c r="L235" i="1" s="1"/>
  <c r="M235" i="1" s="1"/>
  <c r="N235" i="1" s="1"/>
  <c r="J183" i="1"/>
  <c r="L183" i="1" s="1"/>
  <c r="M183" i="1" s="1"/>
  <c r="J182" i="1"/>
  <c r="L182" i="1" s="1"/>
  <c r="J140" i="1"/>
  <c r="L140" i="1" s="1"/>
  <c r="J184" i="1"/>
  <c r="L184" i="1" s="1"/>
  <c r="M184" i="1" s="1"/>
  <c r="N184" i="1" s="1"/>
  <c r="J72" i="1"/>
  <c r="L72" i="1" s="1"/>
  <c r="M72" i="1" s="1"/>
  <c r="J71" i="1"/>
  <c r="L71" i="1" s="1"/>
  <c r="M71" i="1" s="1"/>
  <c r="J65" i="1"/>
  <c r="L65" i="1" s="1"/>
  <c r="J70" i="1"/>
  <c r="L70" i="1" s="1"/>
  <c r="J185" i="1"/>
  <c r="L185" i="1" s="1"/>
  <c r="J159" i="1"/>
  <c r="L159" i="1" s="1"/>
  <c r="J158" i="1"/>
  <c r="L158" i="1" s="1"/>
  <c r="J186" i="1"/>
  <c r="L186" i="1" s="1"/>
  <c r="J116" i="1"/>
  <c r="L116" i="1" s="1"/>
  <c r="M116" i="1" s="1"/>
  <c r="J115" i="1"/>
  <c r="L115" i="1" s="1"/>
  <c r="L114" i="1"/>
  <c r="J113" i="1"/>
  <c r="L113" i="1" s="1"/>
  <c r="F113" i="1"/>
  <c r="D113" i="1"/>
  <c r="D114" i="1" s="1"/>
  <c r="J112" i="1"/>
  <c r="L112" i="1" s="1"/>
  <c r="J111" i="1"/>
  <c r="L111" i="1" s="1"/>
  <c r="M111" i="1" s="1"/>
  <c r="J217" i="1"/>
  <c r="L217" i="1" s="1"/>
  <c r="J216" i="1"/>
  <c r="L216" i="1" s="1"/>
  <c r="J215" i="1"/>
  <c r="L215" i="1" s="1"/>
  <c r="J214" i="1"/>
  <c r="L214" i="1" s="1"/>
  <c r="J213" i="1"/>
  <c r="L213" i="1" s="1"/>
  <c r="M213" i="1" s="1"/>
  <c r="I213" i="1"/>
  <c r="J110" i="1"/>
  <c r="L110" i="1" s="1"/>
  <c r="M110" i="1" s="1"/>
  <c r="J109" i="1"/>
  <c r="L109" i="1" s="1"/>
  <c r="J220" i="1"/>
  <c r="K220" i="1" s="1"/>
  <c r="L220" i="1" s="1"/>
  <c r="F220" i="1"/>
  <c r="F214" i="1" s="1"/>
  <c r="D220" i="1"/>
  <c r="D214" i="1" s="1"/>
  <c r="D215" i="1" s="1"/>
  <c r="D216" i="1" s="1"/>
  <c r="J219" i="1"/>
  <c r="L219" i="1" s="1"/>
  <c r="M219" i="1" s="1"/>
  <c r="J222" i="1"/>
  <c r="L222" i="1" s="1"/>
  <c r="F222" i="1"/>
  <c r="D222" i="1"/>
  <c r="J221" i="1"/>
  <c r="L221" i="1" s="1"/>
  <c r="I225" i="1"/>
  <c r="J225" i="1" s="1"/>
  <c r="L225" i="1" s="1"/>
  <c r="M225" i="1" s="1"/>
  <c r="J83" i="1"/>
  <c r="L83" i="1" s="1"/>
  <c r="M83" i="1" s="1"/>
  <c r="F83" i="1"/>
  <c r="D83" i="1"/>
  <c r="J82" i="1"/>
  <c r="L82" i="1" s="1"/>
  <c r="M82" i="1" s="1"/>
  <c r="J81" i="1"/>
  <c r="L81" i="1" s="1"/>
  <c r="M81" i="1" s="1"/>
  <c r="J80" i="1"/>
  <c r="L80" i="1" s="1"/>
  <c r="M80" i="1" s="1"/>
  <c r="J79" i="1"/>
  <c r="L79" i="1" s="1"/>
  <c r="M79" i="1" s="1"/>
  <c r="D79" i="1"/>
  <c r="J78" i="1"/>
  <c r="L78" i="1" s="1"/>
  <c r="M78" i="1" s="1"/>
  <c r="F78" i="1"/>
  <c r="D78" i="1"/>
  <c r="D80" i="1" s="1"/>
  <c r="D81" i="1" s="1"/>
  <c r="J77" i="1"/>
  <c r="L77" i="1" s="1"/>
  <c r="J224" i="1"/>
  <c r="L224" i="1" s="1"/>
  <c r="M224" i="1" s="1"/>
  <c r="J223" i="1"/>
  <c r="L223" i="1" s="1"/>
  <c r="J226" i="1"/>
  <c r="L226" i="1" s="1"/>
  <c r="M226" i="1" s="1"/>
  <c r="J188" i="1"/>
  <c r="L188" i="1" s="1"/>
  <c r="M188" i="1" s="1"/>
  <c r="J187" i="1"/>
  <c r="L187" i="1" s="1"/>
  <c r="M187" i="1" s="1"/>
  <c r="J234" i="1"/>
  <c r="L234" i="1" s="1"/>
  <c r="L157" i="1"/>
  <c r="M157" i="1" s="1"/>
  <c r="J156" i="1"/>
  <c r="L156" i="1" s="1"/>
  <c r="M156" i="1" s="1"/>
  <c r="J155" i="1"/>
  <c r="L155" i="1" s="1"/>
  <c r="M155" i="1" s="1"/>
  <c r="J230" i="1"/>
  <c r="L230" i="1" s="1"/>
  <c r="M230" i="1" s="1"/>
  <c r="J233" i="1"/>
  <c r="L233" i="1" s="1"/>
  <c r="M233" i="1" s="1"/>
  <c r="J228" i="1"/>
  <c r="L228" i="1" s="1"/>
  <c r="J229" i="1"/>
  <c r="L229" i="1" s="1"/>
  <c r="J154" i="1"/>
  <c r="L154" i="1" s="1"/>
  <c r="M154" i="1" s="1"/>
  <c r="J64" i="1"/>
  <c r="L64" i="1" s="1"/>
  <c r="J63" i="1"/>
  <c r="L63" i="1" s="1"/>
  <c r="H62" i="1"/>
  <c r="J62" i="1" s="1"/>
  <c r="L62" i="1" s="1"/>
  <c r="D62" i="1"/>
  <c r="D63" i="1" s="1"/>
  <c r="D64" i="1" s="1"/>
  <c r="H153" i="1"/>
  <c r="J153" i="1" s="1"/>
  <c r="L153" i="1" s="1"/>
  <c r="J61" i="1"/>
  <c r="L61" i="1" s="1"/>
  <c r="M61" i="1" s="1"/>
  <c r="L152" i="1"/>
  <c r="J60" i="1"/>
  <c r="L60" i="1" s="1"/>
  <c r="M60" i="1" s="1"/>
  <c r="J151" i="1"/>
  <c r="L151" i="1" s="1"/>
  <c r="M151" i="1" s="1"/>
  <c r="J150" i="1"/>
  <c r="L150" i="1" s="1"/>
  <c r="F150" i="1"/>
  <c r="F151" i="1" s="1"/>
  <c r="F152" i="1" s="1"/>
  <c r="F64" i="1" s="1"/>
  <c r="D150" i="1"/>
  <c r="D151" i="1" s="1"/>
  <c r="D152" i="1" s="1"/>
  <c r="D153" i="1" s="1"/>
  <c r="J149" i="1"/>
  <c r="L149" i="1" s="1"/>
  <c r="M149" i="1" s="1"/>
  <c r="N149" i="1" s="1"/>
  <c r="D149" i="1"/>
  <c r="L148" i="1"/>
  <c r="M148" i="1" s="1"/>
  <c r="L232" i="1"/>
  <c r="M232" i="1" s="1"/>
  <c r="J240" i="1"/>
  <c r="L240" i="1" s="1"/>
  <c r="J204" i="1"/>
  <c r="L204" i="1" s="1"/>
  <c r="J203" i="1"/>
  <c r="L203" i="1" s="1"/>
  <c r="J239" i="1"/>
  <c r="L239" i="1" s="1"/>
  <c r="J238" i="1"/>
  <c r="L238" i="1" s="1"/>
  <c r="M238" i="1" s="1"/>
  <c r="J147" i="1"/>
  <c r="L147" i="1" s="1"/>
  <c r="J59" i="1"/>
  <c r="L59" i="1" s="1"/>
  <c r="J237" i="1"/>
  <c r="L237" i="1" s="1"/>
  <c r="J189" i="1"/>
  <c r="L189" i="1" s="1"/>
  <c r="M189" i="1" s="1"/>
  <c r="J190" i="1"/>
  <c r="L190" i="1" s="1"/>
  <c r="J191" i="1"/>
  <c r="L191" i="1" s="1"/>
  <c r="M191" i="1" s="1"/>
  <c r="J192" i="1"/>
  <c r="L192" i="1" s="1"/>
  <c r="J193" i="1"/>
  <c r="L193" i="1" s="1"/>
  <c r="M193" i="1" s="1"/>
  <c r="N193" i="1" s="1"/>
  <c r="J194" i="1"/>
  <c r="L194" i="1" s="1"/>
  <c r="M194" i="1" s="1"/>
  <c r="J146" i="1"/>
  <c r="L146" i="1" s="1"/>
  <c r="M146" i="1" s="1"/>
  <c r="N146" i="1" s="1"/>
  <c r="J145" i="1"/>
  <c r="L145" i="1" s="1"/>
  <c r="J58" i="1"/>
  <c r="L58" i="1" s="1"/>
  <c r="J144" i="1"/>
  <c r="L144" i="1" s="1"/>
  <c r="J143" i="1"/>
  <c r="L143" i="1" s="1"/>
  <c r="J142" i="1"/>
  <c r="L142" i="1" s="1"/>
  <c r="I161" i="1"/>
  <c r="J161" i="1" s="1"/>
  <c r="L161" i="1" s="1"/>
  <c r="F161" i="1"/>
  <c r="J160" i="1"/>
  <c r="L160" i="1" s="1"/>
  <c r="D160" i="1"/>
  <c r="D161" i="1" s="1"/>
  <c r="L205" i="1"/>
  <c r="M205" i="1" s="1"/>
  <c r="L73" i="1"/>
  <c r="D73" i="1"/>
  <c r="J202" i="1"/>
  <c r="L202" i="1" s="1"/>
  <c r="D202" i="1"/>
  <c r="I141" i="1"/>
  <c r="J141" i="1" s="1"/>
  <c r="L141" i="1" s="1"/>
  <c r="M141" i="1" s="1"/>
  <c r="J195" i="1"/>
  <c r="L195" i="1" s="1"/>
  <c r="M195" i="1" s="1"/>
  <c r="J74" i="1"/>
  <c r="L74" i="1" s="1"/>
  <c r="M74" i="1" s="1"/>
  <c r="N74" i="1" s="1"/>
  <c r="L201" i="1"/>
  <c r="J200" i="1"/>
  <c r="L200" i="1" s="1"/>
  <c r="M200" i="1" s="1"/>
  <c r="F200" i="1"/>
  <c r="J218" i="1"/>
  <c r="L218" i="1" s="1"/>
  <c r="J76" i="1"/>
  <c r="L76" i="1" s="1"/>
  <c r="M76" i="1" s="1"/>
  <c r="N76" i="1" s="1"/>
  <c r="J75" i="1"/>
  <c r="L75" i="1" s="1"/>
  <c r="J236" i="1"/>
  <c r="L236" i="1" s="1"/>
  <c r="L231" i="1"/>
  <c r="M231" i="1" s="1"/>
  <c r="J196" i="1"/>
  <c r="L196" i="1" s="1"/>
  <c r="J199" i="1"/>
  <c r="L199" i="1" s="1"/>
  <c r="J198" i="1"/>
  <c r="L198" i="1" s="1"/>
  <c r="L197" i="1"/>
  <c r="M197" i="1" s="1"/>
  <c r="N197" i="1" s="1"/>
  <c r="J84" i="1"/>
  <c r="L84" i="1" s="1"/>
  <c r="M84" i="1" s="1"/>
  <c r="N84" i="1" s="1"/>
  <c r="J87" i="1"/>
  <c r="L87" i="1" s="1"/>
  <c r="H22" i="1"/>
  <c r="J175" i="1"/>
  <c r="L175" i="1" s="1"/>
  <c r="M175" i="1" s="1"/>
  <c r="N175" i="1" s="1"/>
  <c r="J93" i="1"/>
  <c r="L93" i="1" s="1"/>
  <c r="J165" i="1"/>
  <c r="L165" i="1" s="1"/>
  <c r="J162" i="1"/>
  <c r="L162" i="1" s="1"/>
  <c r="L164" i="1"/>
  <c r="F164" i="1"/>
  <c r="J163" i="1"/>
  <c r="L163" i="1" s="1"/>
  <c r="F163" i="1"/>
  <c r="M228" i="1" l="1"/>
  <c r="N228" i="1" s="1"/>
  <c r="J41" i="1"/>
  <c r="J25" i="1"/>
  <c r="L25" i="1" s="1"/>
  <c r="M25" i="1" s="1"/>
  <c r="N25" i="1" s="1"/>
  <c r="J22" i="1"/>
  <c r="L22" i="1" s="1"/>
  <c r="M22" i="1" s="1"/>
  <c r="N22" i="1" s="1"/>
  <c r="J40" i="1"/>
  <c r="J90" i="1"/>
  <c r="L90" i="1" s="1"/>
  <c r="D205" i="1"/>
  <c r="M117" i="1"/>
  <c r="N117" i="1" s="1"/>
  <c r="N61" i="1"/>
  <c r="N27" i="1"/>
  <c r="M75" i="1"/>
  <c r="N75" i="1" s="1"/>
  <c r="M240" i="1"/>
  <c r="N240" i="1" s="1"/>
  <c r="M150" i="1"/>
  <c r="N150" i="1" s="1"/>
  <c r="M216" i="1"/>
  <c r="N216" i="1" s="1"/>
  <c r="M182" i="1"/>
  <c r="N182" i="1" s="1"/>
  <c r="M123" i="1"/>
  <c r="N123" i="1" s="1"/>
  <c r="M67" i="1"/>
  <c r="N67" i="1" s="1"/>
  <c r="M229" i="1"/>
  <c r="N229" i="1" s="1"/>
  <c r="M107" i="1"/>
  <c r="N107" i="1" s="1"/>
  <c r="M145" i="1"/>
  <c r="N145" i="1" s="1"/>
  <c r="M218" i="1"/>
  <c r="N218" i="1" s="1"/>
  <c r="M239" i="1"/>
  <c r="N239" i="1" s="1"/>
  <c r="M203" i="1"/>
  <c r="N203" i="1" s="1"/>
  <c r="M214" i="1"/>
  <c r="N214" i="1" s="1"/>
  <c r="M221" i="1"/>
  <c r="N221" i="1" s="1"/>
  <c r="M140" i="1"/>
  <c r="N140" i="1" s="1"/>
  <c r="N231" i="1"/>
  <c r="M152" i="1"/>
  <c r="N152" i="1" s="1"/>
  <c r="N56" i="1"/>
  <c r="N195" i="1"/>
  <c r="N194" i="1"/>
  <c r="N151" i="1"/>
  <c r="N148" i="1"/>
  <c r="M64" i="1"/>
  <c r="N64" i="1" s="1"/>
  <c r="N108" i="1"/>
  <c r="M201" i="1"/>
  <c r="N201" i="1" s="1"/>
  <c r="M73" i="1"/>
  <c r="N73" i="1" s="1"/>
  <c r="M114" i="1"/>
  <c r="N114" i="1" s="1"/>
  <c r="M161" i="1"/>
  <c r="N161" i="1" s="1"/>
  <c r="M204" i="1"/>
  <c r="N204" i="1" s="1"/>
  <c r="M164" i="1"/>
  <c r="N164" i="1" s="1"/>
  <c r="M236" i="1"/>
  <c r="N236" i="1" s="1"/>
  <c r="M142" i="1"/>
  <c r="N142" i="1" s="1"/>
  <c r="M162" i="1"/>
  <c r="N162" i="1" s="1"/>
  <c r="M199" i="1"/>
  <c r="N199" i="1" s="1"/>
  <c r="M198" i="1"/>
  <c r="N198" i="1" s="1"/>
  <c r="M77" i="1"/>
  <c r="N77" i="1" s="1"/>
  <c r="M165" i="1"/>
  <c r="N165" i="1" s="1"/>
  <c r="M202" i="1"/>
  <c r="N202" i="1" s="1"/>
  <c r="M93" i="1"/>
  <c r="N93" i="1" s="1"/>
  <c r="M196" i="1"/>
  <c r="N196" i="1" s="1"/>
  <c r="M58" i="1"/>
  <c r="N58" i="1" s="1"/>
  <c r="M62" i="1"/>
  <c r="N62" i="1" s="1"/>
  <c r="M144" i="1"/>
  <c r="N144" i="1" s="1"/>
  <c r="M59" i="1"/>
  <c r="N59" i="1" s="1"/>
  <c r="M227" i="1"/>
  <c r="N227" i="1" s="1"/>
  <c r="M143" i="1"/>
  <c r="N143" i="1" s="1"/>
  <c r="M87" i="1"/>
  <c r="N87" i="1" s="1"/>
  <c r="M63" i="1"/>
  <c r="N63" i="1" s="1"/>
  <c r="M160" i="1"/>
  <c r="N160" i="1" s="1"/>
  <c r="M163" i="1"/>
  <c r="N163" i="1" s="1"/>
  <c r="M100" i="1"/>
  <c r="N100" i="1" s="1"/>
  <c r="N154" i="1"/>
  <c r="M186" i="1"/>
  <c r="N186" i="1" s="1"/>
  <c r="M51" i="1"/>
  <c r="N51" i="1" s="1"/>
  <c r="M208" i="1"/>
  <c r="N208" i="1" s="1"/>
  <c r="M106" i="1"/>
  <c r="N106" i="1" s="1"/>
  <c r="N19" i="1"/>
  <c r="M23" i="1"/>
  <c r="N23" i="1" s="1"/>
  <c r="M179" i="1"/>
  <c r="N179" i="1" s="1"/>
  <c r="N200" i="1"/>
  <c r="N141" i="1"/>
  <c r="N205" i="1"/>
  <c r="N191" i="1"/>
  <c r="N189" i="1"/>
  <c r="N232" i="1"/>
  <c r="N233" i="1"/>
  <c r="F217" i="1"/>
  <c r="F215" i="1"/>
  <c r="F216" i="1" s="1"/>
  <c r="M217" i="1"/>
  <c r="N217" i="1" s="1"/>
  <c r="M113" i="1"/>
  <c r="N113" i="1" s="1"/>
  <c r="N183" i="1"/>
  <c r="N47" i="1"/>
  <c r="M127" i="1"/>
  <c r="N127" i="1" s="1"/>
  <c r="M96" i="1"/>
  <c r="N96" i="1" s="1"/>
  <c r="M167" i="1"/>
  <c r="N167" i="1" s="1"/>
  <c r="M33" i="1"/>
  <c r="N33" i="1" s="1"/>
  <c r="M171" i="1"/>
  <c r="N171" i="1" s="1"/>
  <c r="M177" i="1"/>
  <c r="N177" i="1" s="1"/>
  <c r="N95" i="1"/>
  <c r="N238" i="1"/>
  <c r="N188" i="1"/>
  <c r="D217" i="1"/>
  <c r="N157" i="1"/>
  <c r="N226" i="1"/>
  <c r="N79" i="1"/>
  <c r="N213" i="1"/>
  <c r="M215" i="1"/>
  <c r="N215" i="1" s="1"/>
  <c r="N111" i="1"/>
  <c r="M158" i="1"/>
  <c r="N158" i="1" s="1"/>
  <c r="N71" i="1"/>
  <c r="N121" i="1"/>
  <c r="M128" i="1"/>
  <c r="N128" i="1" s="1"/>
  <c r="M132" i="1"/>
  <c r="N132" i="1" s="1"/>
  <c r="M133" i="1"/>
  <c r="N133" i="1" s="1"/>
  <c r="M209" i="1"/>
  <c r="N209" i="1" s="1"/>
  <c r="N97" i="1"/>
  <c r="M102" i="1"/>
  <c r="N102" i="1" s="1"/>
  <c r="N28" i="1"/>
  <c r="M85" i="1"/>
  <c r="N85" i="1" s="1"/>
  <c r="M138" i="1"/>
  <c r="N138" i="1" s="1"/>
  <c r="M34" i="1"/>
  <c r="N34" i="1" s="1"/>
  <c r="M172" i="1"/>
  <c r="N172" i="1" s="1"/>
  <c r="N178" i="1"/>
  <c r="N176" i="1"/>
  <c r="N156" i="1"/>
  <c r="M65" i="1"/>
  <c r="N65" i="1" s="1"/>
  <c r="M169" i="1"/>
  <c r="N169" i="1" s="1"/>
  <c r="M159" i="1"/>
  <c r="N159" i="1" s="1"/>
  <c r="F130" i="1"/>
  <c r="F132" i="1" s="1"/>
  <c r="F32" i="1"/>
  <c r="F49" i="1" s="1"/>
  <c r="F50" i="1" s="1"/>
  <c r="F51" i="1" s="1"/>
  <c r="M134" i="1"/>
  <c r="N134" i="1" s="1"/>
  <c r="M210" i="1"/>
  <c r="N210" i="1" s="1"/>
  <c r="M170" i="1"/>
  <c r="N170" i="1" s="1"/>
  <c r="M173" i="1"/>
  <c r="N173" i="1" s="1"/>
  <c r="M29" i="1"/>
  <c r="N29" i="1" s="1"/>
  <c r="N81" i="1"/>
  <c r="N101" i="1"/>
  <c r="M192" i="1"/>
  <c r="N192" i="1" s="1"/>
  <c r="M190" i="1"/>
  <c r="N190" i="1" s="1"/>
  <c r="M237" i="1"/>
  <c r="N237" i="1" s="1"/>
  <c r="M147" i="1"/>
  <c r="N147" i="1" s="1"/>
  <c r="M153" i="1"/>
  <c r="N153" i="1" s="1"/>
  <c r="N230" i="1"/>
  <c r="N82" i="1"/>
  <c r="N225" i="1"/>
  <c r="M222" i="1"/>
  <c r="N222" i="1" s="1"/>
  <c r="M220" i="1"/>
  <c r="N220" i="1" s="1"/>
  <c r="M112" i="1"/>
  <c r="N112" i="1" s="1"/>
  <c r="M125" i="1"/>
  <c r="N125" i="1" s="1"/>
  <c r="N32" i="1"/>
  <c r="M135" i="1"/>
  <c r="N135" i="1" s="1"/>
  <c r="M98" i="1"/>
  <c r="N98" i="1" s="1"/>
  <c r="M103" i="1"/>
  <c r="N103" i="1" s="1"/>
  <c r="M20" i="1"/>
  <c r="N20" i="1" s="1"/>
  <c r="M139" i="1"/>
  <c r="N139" i="1" s="1"/>
  <c r="M30" i="1"/>
  <c r="N30" i="1" s="1"/>
  <c r="M26" i="1"/>
  <c r="N26" i="1" s="1"/>
  <c r="M55" i="1"/>
  <c r="N55" i="1" s="1"/>
  <c r="M50" i="1"/>
  <c r="N50" i="1" s="1"/>
  <c r="M131" i="1"/>
  <c r="N131" i="1" s="1"/>
  <c r="M88" i="1"/>
  <c r="N88" i="1" s="1"/>
  <c r="M234" i="1"/>
  <c r="N234" i="1" s="1"/>
  <c r="M223" i="1"/>
  <c r="N223" i="1" s="1"/>
  <c r="N80" i="1"/>
  <c r="N219" i="1"/>
  <c r="M109" i="1"/>
  <c r="N109" i="1" s="1"/>
  <c r="M115" i="1"/>
  <c r="N115" i="1" s="1"/>
  <c r="M185" i="1"/>
  <c r="N185" i="1" s="1"/>
  <c r="N72" i="1"/>
  <c r="N66" i="1"/>
  <c r="N119" i="1"/>
  <c r="M49" i="1"/>
  <c r="N49" i="1" s="1"/>
  <c r="M136" i="1"/>
  <c r="N136" i="1" s="1"/>
  <c r="M206" i="1"/>
  <c r="N206" i="1" s="1"/>
  <c r="M211" i="1"/>
  <c r="N211" i="1" s="1"/>
  <c r="N99" i="1"/>
  <c r="M104" i="1"/>
  <c r="N104" i="1" s="1"/>
  <c r="N174" i="1"/>
  <c r="M90" i="1"/>
  <c r="N90" i="1" s="1"/>
  <c r="M89" i="1"/>
  <c r="N89" i="1" s="1"/>
  <c r="M94" i="1"/>
  <c r="N94" i="1" s="1"/>
  <c r="M24" i="1"/>
  <c r="N24" i="1" s="1"/>
  <c r="M54" i="1"/>
  <c r="N54" i="1" s="1"/>
  <c r="M137" i="1"/>
  <c r="N137" i="1" s="1"/>
  <c r="N83" i="1"/>
  <c r="N60" i="1"/>
  <c r="N155" i="1"/>
  <c r="N187" i="1"/>
  <c r="N224" i="1"/>
  <c r="N78" i="1"/>
  <c r="N110" i="1"/>
  <c r="N116" i="1"/>
  <c r="M70" i="1"/>
  <c r="N70" i="1" s="1"/>
  <c r="N130" i="1"/>
  <c r="N207" i="1"/>
  <c r="M212" i="1"/>
  <c r="N212" i="1" s="1"/>
  <c r="N105" i="1"/>
  <c r="M168" i="1"/>
  <c r="N168" i="1" s="1"/>
  <c r="N86" i="1"/>
  <c r="M21" i="1"/>
  <c r="N21" i="1" s="1"/>
  <c r="M53" i="1"/>
  <c r="N53" i="1" s="1"/>
  <c r="D213" i="1"/>
  <c r="F213" i="1"/>
  <c r="M31" i="1"/>
  <c r="N31" i="1" s="1"/>
  <c r="M180" i="1"/>
  <c r="N180" i="1" s="1"/>
  <c r="M181" i="1"/>
  <c r="N181" i="1" s="1"/>
</calcChain>
</file>

<file path=xl/sharedStrings.xml><?xml version="1.0" encoding="utf-8"?>
<sst xmlns="http://schemas.openxmlformats.org/spreadsheetml/2006/main" count="680" uniqueCount="377">
  <si>
    <t>FECHA DE ADQUISICION</t>
  </si>
  <si>
    <t>CODIGO INTITUCIONA</t>
  </si>
  <si>
    <t>DESCRIPCION DEL ACTIVO O BIEN</t>
  </si>
  <si>
    <t>UND. DE MEDIDA</t>
  </si>
  <si>
    <t>INICIAL</t>
  </si>
  <si>
    <t>ENTRANDA</t>
  </si>
  <si>
    <t>SALIDA</t>
  </si>
  <si>
    <t>EXISTENCIA</t>
  </si>
  <si>
    <t>PRECIO UND</t>
  </si>
  <si>
    <t>TOTAL /CANT</t>
  </si>
  <si>
    <t>ITBIS</t>
  </si>
  <si>
    <t>TOTAL</t>
  </si>
  <si>
    <t>0002</t>
  </si>
  <si>
    <t>RESMA 8 1/2 x 14</t>
  </si>
  <si>
    <t>0046</t>
  </si>
  <si>
    <t>RESMA 8 1/2 x 11</t>
  </si>
  <si>
    <t>RESMA DE PAPEL HILO AMARILLO  8/11</t>
  </si>
  <si>
    <t>UNID.</t>
  </si>
  <si>
    <t>RESMA DE PAPEL HILO BLANCO  8/11</t>
  </si>
  <si>
    <t>0034</t>
  </si>
  <si>
    <t>PAPEL HIGIENICO JUMBO 12/1</t>
  </si>
  <si>
    <t>0141</t>
  </si>
  <si>
    <t>PAPEL TOALLA PARA COSINA MAR, GAVIOTA</t>
  </si>
  <si>
    <t>0035</t>
  </si>
  <si>
    <t>PAPEL TOALLA CENTER PULL JUMBO 6/1</t>
  </si>
  <si>
    <t>0037</t>
  </si>
  <si>
    <t>SERVILLETAS DE MESA 500/1</t>
  </si>
  <si>
    <t>0003</t>
  </si>
  <si>
    <t xml:space="preserve">FOLDER C/BOLSILLO AZUL 25/1 </t>
  </si>
  <si>
    <t>CJ.</t>
  </si>
  <si>
    <t>0134</t>
  </si>
  <si>
    <t>CAJA  FOLDER 8.5 /13</t>
  </si>
  <si>
    <t>0105</t>
  </si>
  <si>
    <t>AGEDA EJECUTIVA ,15. AÑO 2019</t>
  </si>
  <si>
    <t>0104</t>
  </si>
  <si>
    <t>AGEDA 15/2 AÑO 2020</t>
  </si>
  <si>
    <t>0111</t>
  </si>
  <si>
    <t>REPUESTO DE AGENDA DE ESCRITORIOS</t>
  </si>
  <si>
    <t>0138</t>
  </si>
  <si>
    <t>LIBRETA RAYADA 8/1/2 X 11</t>
  </si>
  <si>
    <t>0001</t>
  </si>
  <si>
    <t>LIBRETA RAYADA 5x8</t>
  </si>
  <si>
    <t>0106</t>
  </si>
  <si>
    <t xml:space="preserve">CAJAS DE GRAPAS STANDAR </t>
  </si>
  <si>
    <t xml:space="preserve">PAQT DE 10 DE GANCHO ACCO </t>
  </si>
  <si>
    <t>0103</t>
  </si>
  <si>
    <t>CAJA FOLDERS/PENDAFLEX8,5/13</t>
  </si>
  <si>
    <t>0100</t>
  </si>
  <si>
    <t xml:space="preserve"> CAJA DE FORDEL 8 1/2 * 11</t>
  </si>
  <si>
    <t>0102</t>
  </si>
  <si>
    <t>CAJA FOLDERS/PENDAFLEX8,5/11</t>
  </si>
  <si>
    <t>0108</t>
  </si>
  <si>
    <t>CAJAS DE CLIP PEQUENO 10/1</t>
  </si>
  <si>
    <t>0107</t>
  </si>
  <si>
    <t>CAJAS DE CLIP GRANDE 10/1</t>
  </si>
  <si>
    <t>0142</t>
  </si>
  <si>
    <t>CAJAS DE CLIP BILLETERO ARTESCO 51MM</t>
  </si>
  <si>
    <t>SOBRE MANILA 9 *12 500/1</t>
  </si>
  <si>
    <t>SOBRE MANILA 10* 15 500/1</t>
  </si>
  <si>
    <t>SOBRE MANILA 12 *14 500/1</t>
  </si>
  <si>
    <t>SOBRE DE CARTA DE HILO</t>
  </si>
  <si>
    <t>SOBRE DE CARTA BLANCO</t>
  </si>
  <si>
    <t>0143</t>
  </si>
  <si>
    <t>CAJAS DE CLIP BILLETERO ARTESCO 32MM</t>
  </si>
  <si>
    <t>0149</t>
  </si>
  <si>
    <t>CAJAS DE CLIP BILLETERO ARTESCO 25MM</t>
  </si>
  <si>
    <t>0144</t>
  </si>
  <si>
    <t>CAJAS DE CLIP BILLETERO ARTESCO 19MM</t>
  </si>
  <si>
    <t>CARPETA  TIPO TABLA CON FIANZA METALICA 9*14 A4</t>
  </si>
  <si>
    <t>0145</t>
  </si>
  <si>
    <t>PAQ SEPARADOR DE CARPETA 10/1</t>
  </si>
  <si>
    <t>PQT.</t>
  </si>
  <si>
    <t>0150</t>
  </si>
  <si>
    <t>CAJAS DE BANDITAS DE GOMAS NO.18</t>
  </si>
  <si>
    <t>0112</t>
  </si>
  <si>
    <t>CAJAS DE LAPIZ DE CARBOM 12/1</t>
  </si>
  <si>
    <t>0115</t>
  </si>
  <si>
    <t>PORTADAS Y CONTRA PORTADAS TRANSPARENTE 50/1</t>
  </si>
  <si>
    <t>0116</t>
  </si>
  <si>
    <t>CAJA DE RESALTADORES 12/1</t>
  </si>
  <si>
    <t>0117</t>
  </si>
  <si>
    <t>CAJA DE BORRA DE LECHE BLANCA</t>
  </si>
  <si>
    <t>0118</t>
  </si>
  <si>
    <t>TALONARIO DE RECIBO</t>
  </si>
  <si>
    <t>0119</t>
  </si>
  <si>
    <t xml:space="preserve">ETIQUETAS AUTOADHESIVAS PARA FOLDER  LABELS </t>
  </si>
  <si>
    <t>0004</t>
  </si>
  <si>
    <t>LABEL P/CD</t>
  </si>
  <si>
    <t>007</t>
  </si>
  <si>
    <t>POSTIP 3*3</t>
  </si>
  <si>
    <t>0005</t>
  </si>
  <si>
    <t>SOBRE P/CD DE PAPEL 100/1 BLANCOS</t>
  </si>
  <si>
    <t>0015</t>
  </si>
  <si>
    <t xml:space="preserve">CALCULADORA DE ESCRITORIO Sharp 2630 </t>
  </si>
  <si>
    <t>0016</t>
  </si>
  <si>
    <t>GRAPADORA</t>
  </si>
  <si>
    <t>0101</t>
  </si>
  <si>
    <t>BANDEJA DE ESCRITORIO DE METAL  2/1 NEGRA</t>
  </si>
  <si>
    <t>BANDEJA DE ESCRITORIO 2/1 NEGRA</t>
  </si>
  <si>
    <t>0017</t>
  </si>
  <si>
    <t>TIJERA</t>
  </si>
  <si>
    <t>0137</t>
  </si>
  <si>
    <t>PERFORADORA DE TRES HOYOS</t>
  </si>
  <si>
    <t>0147</t>
  </si>
  <si>
    <t>PAPEL CARBON 8  1/2X11 NEGRO</t>
  </si>
  <si>
    <t>CORRECTOR TIPO PENS</t>
  </si>
  <si>
    <t>CERA PARA CONTAR</t>
  </si>
  <si>
    <t xml:space="preserve">ROLLO DE PAPEL SUMADORA </t>
  </si>
  <si>
    <t>147</t>
  </si>
  <si>
    <t xml:space="preserve">PAQUETE DE LAMINA PARA ENCUADERNAR </t>
  </si>
  <si>
    <t>DISPENSADOR</t>
  </si>
  <si>
    <t>PAQUETE DE SEÑALIZADORES DE FIRMA TIPO FLECHA</t>
  </si>
  <si>
    <t xml:space="preserve">Espiral 12 CM </t>
  </si>
  <si>
    <t>0148</t>
  </si>
  <si>
    <t>Espiral 25 CM</t>
  </si>
  <si>
    <t>COBER DE TABLET</t>
  </si>
  <si>
    <t>CORRECTOR LIQUIDO BLANCO T/PEN</t>
  </si>
  <si>
    <t>PORTA CLIX</t>
  </si>
  <si>
    <t>PORTA LAPIZ</t>
  </si>
  <si>
    <t>0136</t>
  </si>
  <si>
    <t xml:space="preserve">LIBRO RECOR </t>
  </si>
  <si>
    <t>0139</t>
  </si>
  <si>
    <t xml:space="preserve">MARCADOR RESALTADOR DE COLORES </t>
  </si>
  <si>
    <t>0146</t>
  </si>
  <si>
    <t>MARCADOR PERMANENTE AZUL</t>
  </si>
  <si>
    <t>MARCADOR PERMANENTE ROJO</t>
  </si>
  <si>
    <t>0135</t>
  </si>
  <si>
    <t>MARCADOR PERMANENTE NEGRO</t>
  </si>
  <si>
    <t xml:space="preserve">LAMINADORAS DE CARNE </t>
  </si>
  <si>
    <t>0126</t>
  </si>
  <si>
    <t>CANO MADEOLEO NO.2 CAOBA AMERICANA</t>
  </si>
  <si>
    <t>0127</t>
  </si>
  <si>
    <t>CANO MADEOLEO NO.23 CAOBA AMERICANA 100G</t>
  </si>
  <si>
    <t>0010</t>
  </si>
  <si>
    <t>CINTA PARA SUMADORA SHARP 2.41</t>
  </si>
  <si>
    <t>PEGAMENTO GEL UHU 50 ml</t>
  </si>
  <si>
    <t>0014</t>
  </si>
  <si>
    <t>PEGAMENTO LIQUIDO UHU 125 ml</t>
  </si>
  <si>
    <t>0047</t>
  </si>
  <si>
    <t>BOLIGRAFO NEGRO</t>
  </si>
  <si>
    <t>BOLIGRAFO PUNTA METALICA</t>
  </si>
  <si>
    <t>CAJA DE GRAPA GRANDE 26/6</t>
  </si>
  <si>
    <t>CAJA DE GRAPA GRANDE 23/13</t>
  </si>
  <si>
    <t>SACA GRAPA</t>
  </si>
  <si>
    <t>0007</t>
  </si>
  <si>
    <t>BOLIGRAFO AZUL</t>
  </si>
  <si>
    <t>BOLIGRAFO ROJO</t>
  </si>
  <si>
    <t>CINTA ADHESIVA 2/50 CLEAR</t>
  </si>
  <si>
    <t>0009</t>
  </si>
  <si>
    <t>CINTA ADHESIVA 2/100 CLEAR (GRANDES)</t>
  </si>
  <si>
    <t xml:space="preserve">COLA BLANCA </t>
  </si>
  <si>
    <t>0024</t>
  </si>
  <si>
    <t>REGLA</t>
  </si>
  <si>
    <t>REGLAS (PEQUENA)</t>
  </si>
  <si>
    <t>106</t>
  </si>
  <si>
    <t xml:space="preserve">SACAPUNTA ELECTRICO BLACK </t>
  </si>
  <si>
    <t>CARPETAS DE 3 HOYOS 1,5  C/C  COLOR AZUL</t>
  </si>
  <si>
    <t>REGLAS GRANDES</t>
  </si>
  <si>
    <t>CARPETA BLANCA</t>
  </si>
  <si>
    <t>CARPETA   NEGRA</t>
  </si>
  <si>
    <t>CARPETA AZUL</t>
  </si>
  <si>
    <t>CAJA DE GRAPA 23/17</t>
  </si>
  <si>
    <t>0140</t>
  </si>
  <si>
    <t>ROLLO DE PAPEL 36*150P/PLOTER CONO 2PULG.</t>
  </si>
  <si>
    <t xml:space="preserve">DISCO DURO USB 2TB </t>
  </si>
  <si>
    <t>BASE COMP</t>
  </si>
  <si>
    <t>MOUSE</t>
  </si>
  <si>
    <t>MAUSE M 190 INALAMBRICO OPTIMO RECEPTOR USB</t>
  </si>
  <si>
    <t>CABLE ADAPTADOR VG DE 9,8 PIE</t>
  </si>
  <si>
    <t>0131</t>
  </si>
  <si>
    <t>DISCO DURO DE 2,0 TERA SEAGATE</t>
  </si>
  <si>
    <t>0109</t>
  </si>
  <si>
    <t>DVD</t>
  </si>
  <si>
    <t>0006</t>
  </si>
  <si>
    <t>CD EN BLANCO</t>
  </si>
  <si>
    <t>0132</t>
  </si>
  <si>
    <t xml:space="preserve">ESTUCHE PROCTETOR P/ DISCO DURO </t>
  </si>
  <si>
    <t>MEMORIA USB 32GB DATA TRAVELER  SE9</t>
  </si>
  <si>
    <t>140</t>
  </si>
  <si>
    <t>MEMORIA USB 64GB DATA TRAVELER  SE9</t>
  </si>
  <si>
    <t>MEMORIA USB 128GB DATA TRAVELER  SE9</t>
  </si>
  <si>
    <t>MEMORIA USB 256GB DATA TRAVELER  SE9</t>
  </si>
  <si>
    <t>0133</t>
  </si>
  <si>
    <t>IMPRESORA MULTIF. HP LASERJET PRO 400</t>
  </si>
  <si>
    <t>MEMORIA DDR4 8GB 2666MHZ PN3-12800 NON-ECC</t>
  </si>
  <si>
    <t xml:space="preserve">MOCHILA PARA LATTOP </t>
  </si>
  <si>
    <t>MEMORIA DDR3 4GB KINGSTON</t>
  </si>
  <si>
    <t>0020</t>
  </si>
  <si>
    <t>BATERIA PARA UPS 12V/7AH</t>
  </si>
  <si>
    <t>DISCO DURO DE 2TB</t>
  </si>
  <si>
    <t>DISCO DURO DE 10 TB</t>
  </si>
  <si>
    <t>DISCO DURO DE 5 TB</t>
  </si>
  <si>
    <t xml:space="preserve">CABLE USB TIPA A MACHO /HEMBRA DE 20 PIES </t>
  </si>
  <si>
    <t>0078</t>
  </si>
  <si>
    <t>TONER HP410A       CF411A CYAN AZUL</t>
  </si>
  <si>
    <t>0077</t>
  </si>
  <si>
    <t>TONER HP410A       CF412A AMARILLO</t>
  </si>
  <si>
    <t>0076</t>
  </si>
  <si>
    <t xml:space="preserve">TONER HP410A       CF413A  MAGENTA </t>
  </si>
  <si>
    <t>0060</t>
  </si>
  <si>
    <t>TONER HP410A       CF410A NEGRO</t>
  </si>
  <si>
    <t>0074</t>
  </si>
  <si>
    <t xml:space="preserve">CARTUCHO 711CZ  130A   AZUL </t>
  </si>
  <si>
    <t>CARTUCHO 711CZ  132A AMARILLO</t>
  </si>
  <si>
    <t>0073</t>
  </si>
  <si>
    <t xml:space="preserve">CARTUCHO 711CZ  131A ROJO </t>
  </si>
  <si>
    <t>0072</t>
  </si>
  <si>
    <t>CARTUCHO 711CZ  133A NEGRO</t>
  </si>
  <si>
    <t>TONER HP305A    CE413A ROJO</t>
  </si>
  <si>
    <t xml:space="preserve">TONER HP305A    CE412A AMARILLO </t>
  </si>
  <si>
    <t xml:space="preserve">TONER HP305A    CE411A AZUL </t>
  </si>
  <si>
    <t>TONER HP305A    CE41OA NEGRO</t>
  </si>
  <si>
    <t>0059</t>
  </si>
  <si>
    <t>TONER HP 954XL N9484A  NEGRO</t>
  </si>
  <si>
    <t>TONER HP 954XL N9472A  AZUL</t>
  </si>
  <si>
    <t>0055</t>
  </si>
  <si>
    <t>TONER HP 954XL N9476A  ROJO</t>
  </si>
  <si>
    <t>TONER HP 954XL N9480A  AMARILLO</t>
  </si>
  <si>
    <t xml:space="preserve">TONER HP130A      CF351A  AZUL </t>
  </si>
  <si>
    <t xml:space="preserve">TONER HP130A      CF352A  AMARILLO </t>
  </si>
  <si>
    <t>TONER HP130A      CF350A  NEGRO</t>
  </si>
  <si>
    <t>TONER  HP130A     CF353A  ROJO</t>
  </si>
  <si>
    <t>TONER HP126A      CE311A  CYAN AZUL</t>
  </si>
  <si>
    <t>TONER HP126A      CE312A  AMARILLO</t>
  </si>
  <si>
    <t>TONER HP126A      CE313A  MAGENTA</t>
  </si>
  <si>
    <t>TONER HP126A      CE310A  NEGRO</t>
  </si>
  <si>
    <t xml:space="preserve"> TONER CANON 119 NEGRO </t>
  </si>
  <si>
    <t xml:space="preserve">TONER CANON 132 CB543A ROJO </t>
  </si>
  <si>
    <t>TONER CANON 132 CB542A AMARILLO</t>
  </si>
  <si>
    <t>TONER CANON 132 CB541A AZUL</t>
  </si>
  <si>
    <t>TONER CANON 132 CB540A NEGRO</t>
  </si>
  <si>
    <t>UNID</t>
  </si>
  <si>
    <t>TONER CANON 131A COLOR NEGRO</t>
  </si>
  <si>
    <t>0061</t>
  </si>
  <si>
    <t>TONER CANON 131A COLOR AMARILLO</t>
  </si>
  <si>
    <t>0062</t>
  </si>
  <si>
    <t>TONER CANON 131A COLOR CYAN</t>
  </si>
  <si>
    <t>0063</t>
  </si>
  <si>
    <t>TONER CANON 131A COLOR MAGENTA</t>
  </si>
  <si>
    <t>0064</t>
  </si>
  <si>
    <t xml:space="preserve">CARTUCHO 812XL, CYAN PARA  IMPRESORA EPSON </t>
  </si>
  <si>
    <t>0065</t>
  </si>
  <si>
    <t xml:space="preserve">CARTUCHO 812XL, BLACK PARA  IMPRESORA EPSON </t>
  </si>
  <si>
    <t>0066</t>
  </si>
  <si>
    <t xml:space="preserve">CARTUCHO 812XL, YELLOW PARA  IMPRESORA EPSON </t>
  </si>
  <si>
    <t>0067</t>
  </si>
  <si>
    <t xml:space="preserve">CARTUCHO 812XL, MAGENTA PARA  IMPRESORA EPSON </t>
  </si>
  <si>
    <t>0068</t>
  </si>
  <si>
    <t>CARTUCHO 938, COLOR NEGRO PARA IMPRESORA HP</t>
  </si>
  <si>
    <t>0069</t>
  </si>
  <si>
    <t>CARTUCHO 938, COLOR CYAN PARA IMPRESORA HP</t>
  </si>
  <si>
    <t>0070</t>
  </si>
  <si>
    <t>CARTUCHO 938, COLOR YELLOW PARA IMPRESORA HP</t>
  </si>
  <si>
    <t>0071</t>
  </si>
  <si>
    <t>CARTUCHO 938, COLOR MAGENTA PARA IMPRESORA HP</t>
  </si>
  <si>
    <t>TONER HP125A    CB541  AZUL</t>
  </si>
  <si>
    <t>TONER HP125A    CB542  AMARILLO</t>
  </si>
  <si>
    <t>TONER HP125A    CB543  ROJO</t>
  </si>
  <si>
    <t>TONER HP131A    CF210  NEGRO</t>
  </si>
  <si>
    <t>TONER HP131A    CF211  AZUL</t>
  </si>
  <si>
    <t>TONER HP131A    CF212  AMARILLO</t>
  </si>
  <si>
    <t>TONER HP131A    CF213  ROJO</t>
  </si>
  <si>
    <t>0053</t>
  </si>
  <si>
    <t>CARTUCHO HP 920XL     NEGRO </t>
  </si>
  <si>
    <t>0052</t>
  </si>
  <si>
    <t>CARTUCHO HP 920 XL    AZUL  </t>
  </si>
  <si>
    <t>CARTUCHO HP 920 XL    ROJO </t>
  </si>
  <si>
    <t>CARTUCHO HP 920XL     AMARILLO   </t>
  </si>
  <si>
    <t>CARTUCHO HP 711         NEGRO </t>
  </si>
  <si>
    <t>CARTUCHO HP 711         AZUL  </t>
  </si>
  <si>
    <t>CARTUCHO HP 711         ROJO </t>
  </si>
  <si>
    <t>CARTUCHO HP 711         AMARILLO   </t>
  </si>
  <si>
    <t>CARTUCHO HP 954         NEGRO </t>
  </si>
  <si>
    <t>CARTUCHO HP 954         AZUL  </t>
  </si>
  <si>
    <t>CARTUCHO HP 954         ROJO </t>
  </si>
  <si>
    <t>CARTUCHO HP 954        AMARILLO   </t>
  </si>
  <si>
    <t>TOALLA DE TELA PARA COCINA</t>
  </si>
  <si>
    <t>0036</t>
  </si>
  <si>
    <t>LANILLA PARA VEHICULO (TELA ROJO)</t>
  </si>
  <si>
    <t>FRASCO ATOMIZADOR 1/1</t>
  </si>
  <si>
    <t>0039</t>
  </si>
  <si>
    <t xml:space="preserve">AMBIENTADOR PINITO VARIOS AROMAS </t>
  </si>
  <si>
    <t>AMBIENTADOR SPRAY</t>
  </si>
  <si>
    <t>0089</t>
  </si>
  <si>
    <t>ESCOBA PLASTIKA MARCA KIKA</t>
  </si>
  <si>
    <t>0090</t>
  </si>
  <si>
    <t xml:space="preserve">ESPONJA PARA FREGAR </t>
  </si>
  <si>
    <t>CUBETA  /EXPRIMIDOR</t>
  </si>
  <si>
    <t>0091</t>
  </si>
  <si>
    <t>GALON DE CLORO CLORO</t>
  </si>
  <si>
    <t>47131803</t>
  </si>
  <si>
    <t xml:space="preserve">REMOVERDOR DE MANCHA PAARA PISO </t>
  </si>
  <si>
    <t>0040</t>
  </si>
  <si>
    <t>JABON LIQUIDO PARA FREGAR EN GALON</t>
  </si>
  <si>
    <t>Galon</t>
  </si>
  <si>
    <t>0041</t>
  </si>
  <si>
    <t>DESIFECTANTEE EN FRASCO</t>
  </si>
  <si>
    <t>0042</t>
  </si>
  <si>
    <t>BOTELLA BAYGON EN SPRAY 250ml</t>
  </si>
  <si>
    <t>LIMPIA CRISTAL</t>
  </si>
  <si>
    <t>GALON</t>
  </si>
  <si>
    <t>0044</t>
  </si>
  <si>
    <t>LYSOL DESINF</t>
  </si>
  <si>
    <t>AEROSOL 19 OZ</t>
  </si>
  <si>
    <t>PIEDRA DE OLOR PARA INODORO</t>
  </si>
  <si>
    <t>ALCOHOL</t>
  </si>
  <si>
    <t>0043</t>
  </si>
  <si>
    <t>DETERGENTE EN POLVO 30 LIBRA</t>
  </si>
  <si>
    <t>SACO</t>
  </si>
  <si>
    <t>DESIFECTANTE</t>
  </si>
  <si>
    <t xml:space="preserve">GEL ANTIBACTERIAL </t>
  </si>
  <si>
    <t>JABON LIQUIDO DE MANO EN GALON</t>
  </si>
  <si>
    <t>PAQ DE FUNDAS 1,000 17X22</t>
  </si>
  <si>
    <t>PAQ,</t>
  </si>
  <si>
    <t>1,000 FUNDAS 17X22</t>
  </si>
  <si>
    <t>FUNDA DE 55 GALONES 36X54 5/1</t>
  </si>
  <si>
    <t>FUNDA PLAST. 30 GALONES 10/1UD</t>
  </si>
  <si>
    <t>FUNDADE 13 GALONES 10/1 24x30</t>
  </si>
  <si>
    <t>135</t>
  </si>
  <si>
    <t>DESGRASANTE</t>
  </si>
  <si>
    <t>SWAPER MARCA KIKA SUAPE</t>
  </si>
  <si>
    <t>47131603</t>
  </si>
  <si>
    <t>TOALLA MICROFIBRA (LANILLA (1) )</t>
  </si>
  <si>
    <t xml:space="preserve">BRILLO GORDO </t>
  </si>
  <si>
    <t xml:space="preserve">BRILLO VERDE </t>
  </si>
  <si>
    <t>PAPEL ALUMINIO DIAMOND 75</t>
  </si>
  <si>
    <t>JABON LIQUIDO CUABA LIMAR GALON</t>
  </si>
  <si>
    <t>0045</t>
  </si>
  <si>
    <t>GUANTES DE GOMA P/LIPIEZA  2/1</t>
  </si>
  <si>
    <t>0011</t>
  </si>
  <si>
    <t>FRASCO CREMORA 35 OZ</t>
  </si>
  <si>
    <t>0012</t>
  </si>
  <si>
    <t xml:space="preserve">AZUCAR CREMA  5LB </t>
  </si>
  <si>
    <t>0013</t>
  </si>
  <si>
    <t xml:space="preserve">AZUCAR BLANCA  5LB </t>
  </si>
  <si>
    <t>0079</t>
  </si>
  <si>
    <t>PAQUETE DE CAFÉ</t>
  </si>
  <si>
    <t>0088</t>
  </si>
  <si>
    <t xml:space="preserve">AZUCAR DE DIETA LIQUIDA </t>
  </si>
  <si>
    <t>0081</t>
  </si>
  <si>
    <t>FUNDA DE LECHE EN POLVO RICA 2.200 GRAMOS</t>
  </si>
  <si>
    <t>0082</t>
  </si>
  <si>
    <t>FUNDA DE MENTA DE CAFÉ COLOMBINA   100/1</t>
  </si>
  <si>
    <t>0080</t>
  </si>
  <si>
    <t>CAJA DE TE BADIA Y MONDAISA</t>
  </si>
  <si>
    <t>CAJA</t>
  </si>
  <si>
    <t>0083</t>
  </si>
  <si>
    <t>DOBLE LITRO REFRESCO COCA COLA</t>
  </si>
  <si>
    <t>0084</t>
  </si>
  <si>
    <t>DOBLE LITRO REFRESCO SEVE UP</t>
  </si>
  <si>
    <t>0085</t>
  </si>
  <si>
    <t>DOBLE LITRO REFRESCO ROJO</t>
  </si>
  <si>
    <t>0086</t>
  </si>
  <si>
    <t xml:space="preserve">FARDO DE 12 ONZAS AGUA PLANETA </t>
  </si>
  <si>
    <t>CAJAS AZUCAR DE DIETA SPLENDA</t>
  </si>
  <si>
    <t>POTE DE CHOCOLATE</t>
  </si>
  <si>
    <t>GALON DE VINAGRE</t>
  </si>
  <si>
    <t>0087</t>
  </si>
  <si>
    <t>DOBLE LITRO REFRESCO NARANJA</t>
  </si>
  <si>
    <t>total</t>
  </si>
  <si>
    <t>FECHA DE REGISTRO</t>
  </si>
  <si>
    <t xml:space="preserve">                   </t>
  </si>
  <si>
    <r>
      <rPr>
        <b/>
        <sz val="22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22"/>
        <color theme="1"/>
        <rFont val="Calibri"/>
        <family val="2"/>
        <scheme val="minor"/>
      </rPr>
      <t xml:space="preserve">   
</t>
    </r>
    <r>
      <rPr>
        <b/>
        <sz val="22"/>
        <color theme="1"/>
        <rFont val="Calibri"/>
        <family val="2"/>
        <scheme val="minor"/>
      </rPr>
      <t>E-Mail:</t>
    </r>
    <r>
      <rPr>
        <sz val="22"/>
        <color theme="1"/>
        <rFont val="Calibri"/>
        <family val="2"/>
        <scheme val="minor"/>
      </rPr>
      <t xml:space="preserve">  </t>
    </r>
    <r>
      <rPr>
        <sz val="22"/>
        <color theme="8" tint="-0.249977111117893"/>
        <rFont val="Calibri"/>
        <family val="2"/>
        <scheme val="minor"/>
      </rPr>
      <t xml:space="preserve">clalane@sgn.gob.do 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Web Site:</t>
    </r>
    <r>
      <rPr>
        <sz val="22"/>
        <color theme="1"/>
        <rFont val="Calibri"/>
        <family val="2"/>
        <scheme val="minor"/>
      </rPr>
      <t xml:space="preserve"> </t>
    </r>
    <r>
      <rPr>
        <sz val="22"/>
        <color theme="8" tint="-0.249977111117893"/>
        <rFont val="Calibri"/>
        <family val="2"/>
        <scheme val="minor"/>
      </rPr>
      <t>www.sgn.gob.do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RNC: 430098329</t>
    </r>
    <r>
      <rPr>
        <sz val="22"/>
        <color theme="1"/>
        <rFont val="Calibri"/>
        <family val="2"/>
        <scheme val="minor"/>
      </rPr>
      <t xml:space="preserve">
</t>
    </r>
  </si>
  <si>
    <t xml:space="preserve">                </t>
  </si>
  <si>
    <t>SERVICIO GEOLÓGICO NACIONAL</t>
  </si>
  <si>
    <t xml:space="preserve">                                                     </t>
  </si>
  <si>
    <t xml:space="preserve">                                              </t>
  </si>
  <si>
    <t>…..OBSERVACION….</t>
  </si>
  <si>
    <t xml:space="preserve">Los códigos de bienes Nacionales NO aplican para esta relación de Materiales de oficinas. </t>
  </si>
  <si>
    <t xml:space="preserve">                              </t>
  </si>
  <si>
    <t xml:space="preserve">Realizado por: </t>
  </si>
  <si>
    <t>Aprobado por :</t>
  </si>
  <si>
    <t xml:space="preserve">Ana Hamceli Mercedes Reyes </t>
  </si>
  <si>
    <t>Fernando González Sánchez</t>
  </si>
  <si>
    <t xml:space="preserve">             Enc.  Almacen               </t>
  </si>
  <si>
    <t xml:space="preserve"> Enc. Depto. Administrativo Financiero</t>
  </si>
  <si>
    <t xml:space="preserve">      RELACION DE INVETARIO DE MATERIAL GASTABLE, TRIMESTRE  JULIO /SEPTIEMBRE/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</si>
</sst>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222222"/>
      <name val="Calibri"/>
      <family val="2"/>
      <scheme val="minor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5"/>
      <color rgb="FF050505"/>
      <name val="Calibri"/>
      <family val="2"/>
      <scheme val="minor"/>
    </font>
    <font>
      <sz val="8"/>
      <name val="Calibri"/>
      <family val="2"/>
      <scheme val="minor"/>
    </font>
    <font>
      <sz val="24"/>
      <name val="Arial"/>
      <family val="2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8" tint="-0.249977111117893"/>
      <name val="Calibri"/>
      <family val="2"/>
      <scheme val="minor"/>
    </font>
    <font>
      <b/>
      <sz val="24"/>
      <color theme="1"/>
      <name val="Times New Roman"/>
      <family val="1"/>
    </font>
    <font>
      <b/>
      <sz val="24"/>
      <color theme="1"/>
      <name val="Calibri"/>
      <family val="2"/>
      <scheme val="minor"/>
    </font>
    <font>
      <sz val="2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4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left" vertical="top" wrapText="1"/>
    </xf>
    <xf numFmtId="14" fontId="1" fillId="3" borderId="3" xfId="0" applyNumberFormat="1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4" fontId="7" fillId="4" borderId="6" xfId="0" applyNumberFormat="1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" fillId="0" borderId="0" xfId="0" applyFont="1"/>
    <xf numFmtId="0" fontId="21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3" borderId="0" xfId="0" applyFill="1"/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21" fillId="0" borderId="7" xfId="0" applyFont="1" applyBorder="1" applyAlignment="1">
      <alignment horizontal="center"/>
    </xf>
    <xf numFmtId="49" fontId="1" fillId="5" borderId="3" xfId="0" applyNumberFormat="1" applyFont="1" applyFill="1" applyBorder="1" applyAlignment="1">
      <alignment horizontal="center" vertical="center" wrapText="1"/>
    </xf>
    <xf numFmtId="14" fontId="1" fillId="5" borderId="3" xfId="0" applyNumberFormat="1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14" fontId="1" fillId="5" borderId="3" xfId="0" applyNumberFormat="1" applyFont="1" applyFill="1" applyBorder="1" applyAlignment="1">
      <alignment horizontal="center" vertical="center" wrapText="1"/>
    </xf>
    <xf numFmtId="0" fontId="22" fillId="3" borderId="0" xfId="0" applyFont="1" applyFill="1"/>
    <xf numFmtId="1" fontId="1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2670499</xdr:colOff>
      <xdr:row>0</xdr:row>
      <xdr:rowOff>90122</xdr:rowOff>
    </xdr:from>
    <xdr:to>
      <xdr:col>6</xdr:col>
      <xdr:colOff>421822</xdr:colOff>
      <xdr:row>6</xdr:row>
      <xdr:rowOff>13608</xdr:rowOff>
    </xdr:to>
    <xdr:pic>
      <xdr:nvPicPr>
        <xdr:cNvPr id="7" name="Imagen 4" descr="download">
          <a:extLst>
            <a:ext uri="{FF2B5EF4-FFF2-40B4-BE49-F238E27FC236}">
              <a16:creationId xmlns:a16="http://schemas.microsoft.com/office/drawing/2014/main" id="{9148CA80-2304-42B4-8916-902468821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3474" y="90122"/>
          <a:ext cx="3666348" cy="194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748392</xdr:colOff>
      <xdr:row>0</xdr:row>
      <xdr:rowOff>117961</xdr:rowOff>
    </xdr:from>
    <xdr:to>
      <xdr:col>4</xdr:col>
      <xdr:colOff>820615</xdr:colOff>
      <xdr:row>5</xdr:row>
      <xdr:rowOff>187778</xdr:rowOff>
    </xdr:to>
    <xdr:grpSp>
      <xdr:nvGrpSpPr>
        <xdr:cNvPr id="8" name="Group 13">
          <a:extLst>
            <a:ext uri="{FF2B5EF4-FFF2-40B4-BE49-F238E27FC236}">
              <a16:creationId xmlns:a16="http://schemas.microsoft.com/office/drawing/2014/main" id="{F4198043-6C11-4939-81A7-2D01C1C689DB}"/>
            </a:ext>
          </a:extLst>
        </xdr:cNvPr>
        <xdr:cNvGrpSpPr>
          <a:grpSpLocks/>
        </xdr:cNvGrpSpPr>
      </xdr:nvGrpSpPr>
      <xdr:grpSpPr bwMode="auto">
        <a:xfrm>
          <a:off x="927686" y="117961"/>
          <a:ext cx="4756282" cy="2086876"/>
          <a:chOff x="1199" y="528"/>
          <a:chExt cx="3571" cy="1230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D757101A-B8B0-496A-880E-EBAF629302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DF57CA17-2410-4C58-B6AD-3AEDDFFC57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AutoShape 14">
            <a:extLst>
              <a:ext uri="{FF2B5EF4-FFF2-40B4-BE49-F238E27FC236}">
                <a16:creationId xmlns:a16="http://schemas.microsoft.com/office/drawing/2014/main" id="{6E03A638-515F-4453-B5E6-6DBCD7323D18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8"/>
  <sheetViews>
    <sheetView tabSelected="1" topLeftCell="A239" zoomScale="85" zoomScaleNormal="85" workbookViewId="0">
      <selection activeCell="N242" sqref="N242"/>
    </sheetView>
  </sheetViews>
  <sheetFormatPr baseColWidth="10" defaultRowHeight="15" x14ac:dyDescent="0.25"/>
  <cols>
    <col min="1" max="1" width="2.7109375" customWidth="1"/>
    <col min="2" max="2" width="22.140625" style="44" customWidth="1"/>
    <col min="3" max="3" width="25.140625" style="44" customWidth="1"/>
    <col min="4" max="4" width="22.85546875" style="44" customWidth="1"/>
    <col min="5" max="5" width="32" style="44" customWidth="1"/>
    <col min="6" max="6" width="19" style="44" customWidth="1"/>
    <col min="7" max="7" width="11.5703125" style="44" bestFit="1" customWidth="1"/>
    <col min="8" max="8" width="16.5703125" style="44" customWidth="1"/>
    <col min="9" max="9" width="11.5703125" style="44" bestFit="1" customWidth="1"/>
    <col min="10" max="10" width="18.7109375" style="44" customWidth="1"/>
    <col min="11" max="11" width="21.140625" style="44" customWidth="1"/>
    <col min="12" max="12" width="22.140625" style="44" customWidth="1"/>
    <col min="13" max="13" width="13.7109375" style="44" bestFit="1" customWidth="1"/>
    <col min="14" max="14" width="20.85546875" style="44" customWidth="1"/>
  </cols>
  <sheetData>
    <row r="1" spans="2:14" ht="31.5" x14ac:dyDescent="0.5">
      <c r="B1" s="56" t="s">
        <v>361</v>
      </c>
      <c r="C1" s="56"/>
      <c r="D1" s="56"/>
      <c r="E1" s="56"/>
      <c r="F1" s="57"/>
      <c r="G1" s="57"/>
      <c r="H1" s="57"/>
      <c r="I1" s="79" t="s">
        <v>362</v>
      </c>
      <c r="J1" s="79"/>
      <c r="K1" s="79"/>
      <c r="L1" s="79"/>
      <c r="M1" s="79"/>
      <c r="N1" s="79"/>
    </row>
    <row r="2" spans="2:14" ht="31.5" x14ac:dyDescent="0.5">
      <c r="B2" s="58"/>
      <c r="C2" s="57"/>
      <c r="D2" s="59"/>
      <c r="E2" s="60"/>
      <c r="F2" s="57"/>
      <c r="G2" s="57"/>
      <c r="H2" s="57"/>
      <c r="I2" s="79"/>
      <c r="J2" s="79"/>
      <c r="K2" s="79"/>
      <c r="L2" s="79"/>
      <c r="M2" s="79"/>
      <c r="N2" s="79"/>
    </row>
    <row r="3" spans="2:14" ht="31.5" x14ac:dyDescent="0.5">
      <c r="B3" s="56" t="s">
        <v>363</v>
      </c>
      <c r="C3" s="56"/>
      <c r="D3" s="56"/>
      <c r="E3" s="56"/>
      <c r="F3" s="57"/>
      <c r="G3" s="57"/>
      <c r="H3" s="57"/>
      <c r="I3" s="79"/>
      <c r="J3" s="79"/>
      <c r="K3" s="79"/>
      <c r="L3" s="79"/>
      <c r="M3" s="79"/>
      <c r="N3" s="79"/>
    </row>
    <row r="4" spans="2:14" ht="31.5" x14ac:dyDescent="0.5">
      <c r="B4" s="58"/>
      <c r="C4" s="57"/>
      <c r="D4" s="59"/>
      <c r="E4" s="60"/>
      <c r="F4" s="57"/>
      <c r="G4" s="57"/>
      <c r="H4" s="57"/>
      <c r="I4" s="79"/>
      <c r="J4" s="79"/>
      <c r="K4" s="79"/>
      <c r="L4" s="79"/>
      <c r="M4" s="79"/>
      <c r="N4" s="79"/>
    </row>
    <row r="5" spans="2:14" ht="31.5" x14ac:dyDescent="0.5">
      <c r="B5" s="58"/>
      <c r="C5" s="57"/>
      <c r="D5" s="59"/>
      <c r="E5" s="60"/>
      <c r="F5" s="57"/>
      <c r="G5" s="57"/>
      <c r="H5" s="57"/>
      <c r="I5" s="79"/>
      <c r="J5" s="79"/>
      <c r="K5" s="79"/>
      <c r="L5" s="79"/>
      <c r="M5" s="79"/>
      <c r="N5" s="79"/>
    </row>
    <row r="6" spans="2:14" ht="31.5" x14ac:dyDescent="0.5">
      <c r="B6" s="58"/>
      <c r="C6" s="57"/>
      <c r="D6" s="59"/>
      <c r="E6" s="60"/>
      <c r="F6" s="57"/>
      <c r="G6" s="57"/>
      <c r="H6" s="57"/>
      <c r="I6" s="79"/>
      <c r="J6" s="79"/>
      <c r="K6" s="79"/>
      <c r="L6" s="79"/>
      <c r="M6" s="79"/>
      <c r="N6" s="79"/>
    </row>
    <row r="7" spans="2:14" ht="31.5" x14ac:dyDescent="0.5">
      <c r="B7" s="58"/>
      <c r="C7" s="56"/>
      <c r="D7" s="56"/>
      <c r="E7" s="56"/>
      <c r="F7" s="57"/>
      <c r="G7" s="57"/>
      <c r="H7" s="57"/>
      <c r="I7" s="79"/>
      <c r="J7" s="79"/>
      <c r="K7" s="79"/>
      <c r="L7" s="79"/>
      <c r="M7" s="79"/>
      <c r="N7" s="79"/>
    </row>
    <row r="8" spans="2:14" ht="30" x14ac:dyDescent="0.25">
      <c r="B8" s="80" t="s">
        <v>364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2:14" ht="31.5" x14ac:dyDescent="0.5">
      <c r="B9" s="56" t="s">
        <v>365</v>
      </c>
      <c r="C9" s="56" t="s">
        <v>366</v>
      </c>
      <c r="D9" s="56"/>
      <c r="E9" s="60"/>
      <c r="F9" s="61"/>
      <c r="G9" s="61"/>
      <c r="H9" s="62"/>
      <c r="I9" s="62"/>
      <c r="J9" s="57"/>
      <c r="K9" s="61"/>
      <c r="L9" s="61"/>
      <c r="M9" s="61"/>
      <c r="N9" s="57"/>
    </row>
    <row r="10" spans="2:14" ht="31.5" x14ac:dyDescent="0.5">
      <c r="B10" s="56"/>
      <c r="C10" s="56"/>
      <c r="D10" s="56"/>
      <c r="E10" s="60"/>
      <c r="F10" s="61"/>
      <c r="G10" s="61"/>
      <c r="H10" s="62"/>
      <c r="I10" s="62"/>
      <c r="J10" s="57"/>
      <c r="K10" s="61"/>
      <c r="L10" s="61"/>
      <c r="M10" s="61"/>
      <c r="N10" s="57"/>
    </row>
    <row r="11" spans="2:14" ht="30.75" x14ac:dyDescent="0.25">
      <c r="B11" s="81" t="s">
        <v>376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3" spans="2:14" ht="15" customHeight="1" x14ac:dyDescent="0.25">
      <c r="B13" s="84" t="s">
        <v>0</v>
      </c>
      <c r="C13" s="84" t="s">
        <v>1</v>
      </c>
      <c r="D13" s="84" t="s">
        <v>360</v>
      </c>
      <c r="E13" s="84" t="s">
        <v>2</v>
      </c>
      <c r="F13" s="86" t="s">
        <v>3</v>
      </c>
      <c r="G13" s="86" t="s">
        <v>4</v>
      </c>
      <c r="H13" s="82" t="s">
        <v>5</v>
      </c>
      <c r="I13" s="82" t="s">
        <v>6</v>
      </c>
      <c r="J13" s="82" t="s">
        <v>7</v>
      </c>
      <c r="K13" s="82" t="s">
        <v>8</v>
      </c>
      <c r="L13" s="86" t="s">
        <v>9</v>
      </c>
      <c r="M13" s="82" t="s">
        <v>10</v>
      </c>
      <c r="N13" s="82" t="s">
        <v>11</v>
      </c>
    </row>
    <row r="14" spans="2:14" ht="15" customHeight="1" x14ac:dyDescent="0.25">
      <c r="B14" s="85"/>
      <c r="C14" s="85"/>
      <c r="D14" s="85"/>
      <c r="E14" s="85"/>
      <c r="F14" s="87"/>
      <c r="G14" s="87"/>
      <c r="H14" s="83"/>
      <c r="I14" s="83"/>
      <c r="J14" s="83"/>
      <c r="K14" s="83"/>
      <c r="L14" s="87"/>
      <c r="M14" s="83"/>
      <c r="N14" s="83"/>
    </row>
    <row r="15" spans="2:14" ht="37.5" x14ac:dyDescent="0.25">
      <c r="B15" s="1">
        <v>45793</v>
      </c>
      <c r="C15" s="2" t="s">
        <v>277</v>
      </c>
      <c r="D15" s="3">
        <v>45793</v>
      </c>
      <c r="E15" s="4" t="s">
        <v>278</v>
      </c>
      <c r="F15" s="5" t="s">
        <v>17</v>
      </c>
      <c r="G15" s="5">
        <v>30</v>
      </c>
      <c r="H15" s="5">
        <v>30</v>
      </c>
      <c r="I15" s="5">
        <v>6</v>
      </c>
      <c r="J15" s="5">
        <f>H15-I15</f>
        <v>24</v>
      </c>
      <c r="K15" s="6">
        <v>160</v>
      </c>
      <c r="L15" s="6">
        <f t="shared" ref="L15:L34" si="0">J15*K15</f>
        <v>3840</v>
      </c>
      <c r="M15" s="6">
        <f t="shared" ref="M15:M34" si="1">L15*18%</f>
        <v>691.19999999999993</v>
      </c>
      <c r="N15" s="6">
        <f t="shared" ref="N15:N46" si="2">L15+M15</f>
        <v>4531.2</v>
      </c>
    </row>
    <row r="16" spans="2:14" ht="33.75" customHeight="1" x14ac:dyDescent="0.25">
      <c r="B16" s="7">
        <v>45777</v>
      </c>
      <c r="C16" s="8" t="s">
        <v>297</v>
      </c>
      <c r="D16" s="3">
        <v>45777</v>
      </c>
      <c r="E16" s="10" t="s">
        <v>310</v>
      </c>
      <c r="F16" s="11" t="s">
        <v>300</v>
      </c>
      <c r="G16" s="11">
        <v>6</v>
      </c>
      <c r="H16" s="11">
        <v>5</v>
      </c>
      <c r="I16" s="11">
        <v>2</v>
      </c>
      <c r="J16" s="5">
        <f>H16-I16+G16</f>
        <v>9</v>
      </c>
      <c r="K16" s="12">
        <v>434</v>
      </c>
      <c r="L16" s="12">
        <f t="shared" si="0"/>
        <v>3906</v>
      </c>
      <c r="M16" s="12">
        <f t="shared" si="1"/>
        <v>703.07999999999993</v>
      </c>
      <c r="N16" s="12">
        <f t="shared" si="2"/>
        <v>4609.08</v>
      </c>
    </row>
    <row r="17" spans="2:14" ht="37.5" x14ac:dyDescent="0.25">
      <c r="B17" s="7">
        <v>45777</v>
      </c>
      <c r="C17" s="8" t="s">
        <v>126</v>
      </c>
      <c r="D17" s="3">
        <v>45777</v>
      </c>
      <c r="E17" s="10" t="s">
        <v>317</v>
      </c>
      <c r="F17" s="11" t="str">
        <f>F15</f>
        <v>UNID.</v>
      </c>
      <c r="G17" s="11">
        <v>2</v>
      </c>
      <c r="H17" s="11">
        <f>20+500</f>
        <v>520</v>
      </c>
      <c r="I17" s="11">
        <v>20</v>
      </c>
      <c r="J17" s="5">
        <f>H17-I17</f>
        <v>500</v>
      </c>
      <c r="K17" s="12">
        <v>145</v>
      </c>
      <c r="L17" s="12">
        <f t="shared" si="0"/>
        <v>72500</v>
      </c>
      <c r="M17" s="12">
        <f t="shared" si="1"/>
        <v>13050</v>
      </c>
      <c r="N17" s="12">
        <f t="shared" si="2"/>
        <v>85550</v>
      </c>
    </row>
    <row r="18" spans="2:14" ht="24" customHeight="1" x14ac:dyDescent="0.25">
      <c r="B18" s="1">
        <v>45777</v>
      </c>
      <c r="C18" s="2" t="s">
        <v>277</v>
      </c>
      <c r="D18" s="3">
        <v>45777</v>
      </c>
      <c r="E18" s="4" t="s">
        <v>279</v>
      </c>
      <c r="F18" s="5" t="s">
        <v>17</v>
      </c>
      <c r="G18" s="5">
        <v>10</v>
      </c>
      <c r="H18" s="5">
        <v>10</v>
      </c>
      <c r="I18" s="5">
        <v>0</v>
      </c>
      <c r="J18" s="5">
        <f>H18-I18</f>
        <v>10</v>
      </c>
      <c r="K18" s="6">
        <v>235</v>
      </c>
      <c r="L18" s="6">
        <f t="shared" si="0"/>
        <v>2350</v>
      </c>
      <c r="M18" s="6">
        <f t="shared" si="1"/>
        <v>423</v>
      </c>
      <c r="N18" s="6">
        <f t="shared" si="2"/>
        <v>2773</v>
      </c>
    </row>
    <row r="19" spans="2:14" s="77" customFormat="1" ht="37.5" x14ac:dyDescent="0.25">
      <c r="B19" s="31">
        <v>45775</v>
      </c>
      <c r="C19" s="32" t="s">
        <v>119</v>
      </c>
      <c r="D19" s="27">
        <v>45775</v>
      </c>
      <c r="E19" s="34" t="s">
        <v>316</v>
      </c>
      <c r="F19" s="35" t="s">
        <v>313</v>
      </c>
      <c r="G19" s="35">
        <v>100</v>
      </c>
      <c r="H19" s="35">
        <v>100</v>
      </c>
      <c r="I19" s="35">
        <v>21</v>
      </c>
      <c r="J19" s="17">
        <f>H19-I19</f>
        <v>79</v>
      </c>
      <c r="K19" s="36">
        <v>385</v>
      </c>
      <c r="L19" s="36">
        <f t="shared" si="0"/>
        <v>30415</v>
      </c>
      <c r="M19" s="36">
        <f t="shared" si="1"/>
        <v>5474.7</v>
      </c>
      <c r="N19" s="36">
        <f t="shared" si="2"/>
        <v>35889.699999999997</v>
      </c>
    </row>
    <row r="20" spans="2:14" s="77" customFormat="1" ht="27" customHeight="1" x14ac:dyDescent="0.25">
      <c r="B20" s="13">
        <v>45775</v>
      </c>
      <c r="C20" s="14" t="s">
        <v>285</v>
      </c>
      <c r="D20" s="15">
        <v>45775</v>
      </c>
      <c r="E20" s="16" t="s">
        <v>286</v>
      </c>
      <c r="F20" s="17" t="s">
        <v>17</v>
      </c>
      <c r="G20" s="17">
        <v>30</v>
      </c>
      <c r="H20" s="17">
        <v>30</v>
      </c>
      <c r="I20" s="17">
        <v>2</v>
      </c>
      <c r="J20" s="17">
        <f>H20-I20</f>
        <v>28</v>
      </c>
      <c r="K20" s="18">
        <v>29</v>
      </c>
      <c r="L20" s="18">
        <f t="shared" si="0"/>
        <v>812</v>
      </c>
      <c r="M20" s="18">
        <f t="shared" si="1"/>
        <v>146.16</v>
      </c>
      <c r="N20" s="18">
        <f t="shared" si="2"/>
        <v>958.16</v>
      </c>
    </row>
    <row r="21" spans="2:14" s="77" customFormat="1" ht="37.5" x14ac:dyDescent="0.25">
      <c r="B21" s="31">
        <v>45775</v>
      </c>
      <c r="C21" s="32" t="s">
        <v>126</v>
      </c>
      <c r="D21" s="27">
        <v>45775</v>
      </c>
      <c r="E21" s="34" t="s">
        <v>315</v>
      </c>
      <c r="F21" s="35" t="s">
        <v>313</v>
      </c>
      <c r="G21" s="35">
        <v>13</v>
      </c>
      <c r="H21" s="35">
        <f>20+100</f>
        <v>120</v>
      </c>
      <c r="I21" s="35">
        <v>53</v>
      </c>
      <c r="J21" s="17">
        <f>H21-I21</f>
        <v>67</v>
      </c>
      <c r="K21" s="36">
        <v>55</v>
      </c>
      <c r="L21" s="36">
        <f t="shared" si="0"/>
        <v>3685</v>
      </c>
      <c r="M21" s="36">
        <f t="shared" si="1"/>
        <v>663.3</v>
      </c>
      <c r="N21" s="36">
        <f t="shared" si="2"/>
        <v>4348.3</v>
      </c>
    </row>
    <row r="22" spans="2:14" s="77" customFormat="1" ht="37.5" x14ac:dyDescent="0.25">
      <c r="B22" s="13">
        <v>45775</v>
      </c>
      <c r="C22" s="14" t="s">
        <v>23</v>
      </c>
      <c r="D22" s="15">
        <v>45775</v>
      </c>
      <c r="E22" s="16" t="s">
        <v>24</v>
      </c>
      <c r="F22" s="17" t="s">
        <v>17</v>
      </c>
      <c r="G22" s="17">
        <v>210</v>
      </c>
      <c r="H22" s="17">
        <f>130+40</f>
        <v>170</v>
      </c>
      <c r="I22" s="17">
        <f>133+1+9</f>
        <v>143</v>
      </c>
      <c r="J22" s="17">
        <f>+H22-I22</f>
        <v>27</v>
      </c>
      <c r="K22" s="18">
        <v>1000</v>
      </c>
      <c r="L22" s="18">
        <f t="shared" si="0"/>
        <v>27000</v>
      </c>
      <c r="M22" s="18">
        <f t="shared" si="1"/>
        <v>4860</v>
      </c>
      <c r="N22" s="18">
        <f t="shared" si="2"/>
        <v>31860</v>
      </c>
    </row>
    <row r="23" spans="2:14" s="77" customFormat="1" ht="30" customHeight="1" x14ac:dyDescent="0.25">
      <c r="B23" s="25">
        <v>45775</v>
      </c>
      <c r="C23" s="14" t="s">
        <v>331</v>
      </c>
      <c r="D23" s="15">
        <v>45923</v>
      </c>
      <c r="E23" s="16" t="s">
        <v>332</v>
      </c>
      <c r="F23" s="17" t="s">
        <v>17</v>
      </c>
      <c r="G23" s="17">
        <v>0</v>
      </c>
      <c r="H23" s="17">
        <f>20+12</f>
        <v>32</v>
      </c>
      <c r="I23" s="17">
        <f>4+1+1+1+1+1+1+1+9</f>
        <v>20</v>
      </c>
      <c r="J23" s="17">
        <f>H23-I23</f>
        <v>12</v>
      </c>
      <c r="K23" s="18">
        <v>203</v>
      </c>
      <c r="L23" s="18">
        <f t="shared" si="0"/>
        <v>2436</v>
      </c>
      <c r="M23" s="18">
        <f t="shared" si="1"/>
        <v>438.47999999999996</v>
      </c>
      <c r="N23" s="18">
        <f t="shared" si="2"/>
        <v>2874.48</v>
      </c>
    </row>
    <row r="24" spans="2:14" s="77" customFormat="1" ht="27" customHeight="1" x14ac:dyDescent="0.25">
      <c r="B24" s="25">
        <v>45775</v>
      </c>
      <c r="C24" s="14" t="s">
        <v>335</v>
      </c>
      <c r="D24" s="15">
        <v>45775</v>
      </c>
      <c r="E24" s="16" t="s">
        <v>336</v>
      </c>
      <c r="F24" s="17" t="s">
        <v>17</v>
      </c>
      <c r="G24" s="17">
        <v>0</v>
      </c>
      <c r="H24" s="17">
        <v>100</v>
      </c>
      <c r="I24" s="17">
        <f>2+5+3+5+3+3+3+3+3+5+42</f>
        <v>77</v>
      </c>
      <c r="J24" s="17">
        <f>H24-I24</f>
        <v>23</v>
      </c>
      <c r="K24" s="18">
        <v>331</v>
      </c>
      <c r="L24" s="18">
        <f t="shared" si="0"/>
        <v>7613</v>
      </c>
      <c r="M24" s="18">
        <f t="shared" si="1"/>
        <v>1370.34</v>
      </c>
      <c r="N24" s="18">
        <f t="shared" si="2"/>
        <v>8983.34</v>
      </c>
    </row>
    <row r="25" spans="2:14" s="77" customFormat="1" ht="56.25" x14ac:dyDescent="0.25">
      <c r="B25" s="25">
        <v>45775</v>
      </c>
      <c r="C25" s="14" t="s">
        <v>339</v>
      </c>
      <c r="D25" s="15">
        <v>45775</v>
      </c>
      <c r="E25" s="16" t="s">
        <v>340</v>
      </c>
      <c r="F25" s="17" t="s">
        <v>17</v>
      </c>
      <c r="G25" s="17">
        <v>0</v>
      </c>
      <c r="H25" s="17">
        <f>10+10</f>
        <v>20</v>
      </c>
      <c r="I25" s="17">
        <f>13+1+1+1+4</f>
        <v>20</v>
      </c>
      <c r="J25" s="17">
        <f>H25-I25</f>
        <v>0</v>
      </c>
      <c r="K25" s="18">
        <v>2100</v>
      </c>
      <c r="L25" s="18">
        <f t="shared" si="0"/>
        <v>0</v>
      </c>
      <c r="M25" s="18">
        <f t="shared" si="1"/>
        <v>0</v>
      </c>
      <c r="N25" s="18">
        <f t="shared" si="2"/>
        <v>0</v>
      </c>
    </row>
    <row r="26" spans="2:14" ht="37.5" x14ac:dyDescent="0.25">
      <c r="B26" s="19">
        <v>45775</v>
      </c>
      <c r="C26" s="2" t="s">
        <v>341</v>
      </c>
      <c r="D26" s="3">
        <v>45775</v>
      </c>
      <c r="E26" s="4" t="s">
        <v>342</v>
      </c>
      <c r="F26" s="5" t="s">
        <v>17</v>
      </c>
      <c r="G26" s="5">
        <v>0</v>
      </c>
      <c r="H26" s="5">
        <f>5+1</f>
        <v>6</v>
      </c>
      <c r="I26" s="5">
        <f>4+1+1</f>
        <v>6</v>
      </c>
      <c r="J26" s="5">
        <f>H26-I26</f>
        <v>0</v>
      </c>
      <c r="K26" s="6">
        <v>180</v>
      </c>
      <c r="L26" s="6">
        <f t="shared" si="0"/>
        <v>0</v>
      </c>
      <c r="M26" s="6">
        <f t="shared" si="1"/>
        <v>0</v>
      </c>
      <c r="N26" s="6">
        <f t="shared" si="2"/>
        <v>0</v>
      </c>
    </row>
    <row r="27" spans="2:14" s="77" customFormat="1" ht="37.5" x14ac:dyDescent="0.25">
      <c r="B27" s="13">
        <v>45775</v>
      </c>
      <c r="C27" s="14" t="s">
        <v>306</v>
      </c>
      <c r="D27" s="15">
        <v>45775</v>
      </c>
      <c r="E27" s="16" t="s">
        <v>320</v>
      </c>
      <c r="F27" s="17" t="s">
        <v>17</v>
      </c>
      <c r="G27" s="17">
        <v>0</v>
      </c>
      <c r="H27" s="17">
        <f>6+10</f>
        <v>16</v>
      </c>
      <c r="I27" s="17">
        <v>5</v>
      </c>
      <c r="J27" s="17">
        <f>H27-I27</f>
        <v>11</v>
      </c>
      <c r="K27" s="18">
        <v>198</v>
      </c>
      <c r="L27" s="18">
        <f t="shared" si="0"/>
        <v>2178</v>
      </c>
      <c r="M27" s="18">
        <f t="shared" si="1"/>
        <v>392.03999999999996</v>
      </c>
      <c r="N27" s="18">
        <f t="shared" si="2"/>
        <v>2570.04</v>
      </c>
    </row>
    <row r="28" spans="2:14" s="77" customFormat="1" ht="37.5" x14ac:dyDescent="0.25">
      <c r="B28" s="13">
        <v>45775</v>
      </c>
      <c r="C28" s="14" t="s">
        <v>283</v>
      </c>
      <c r="D28" s="15">
        <v>45775</v>
      </c>
      <c r="E28" s="16" t="s">
        <v>284</v>
      </c>
      <c r="F28" s="17" t="s">
        <v>17</v>
      </c>
      <c r="G28" s="17">
        <v>7</v>
      </c>
      <c r="H28" s="17">
        <v>10</v>
      </c>
      <c r="I28" s="17">
        <v>2</v>
      </c>
      <c r="J28" s="17">
        <f>H28-I28+G28</f>
        <v>15</v>
      </c>
      <c r="K28" s="18">
        <v>87</v>
      </c>
      <c r="L28" s="18">
        <f t="shared" si="0"/>
        <v>1305</v>
      </c>
      <c r="M28" s="18">
        <f t="shared" si="1"/>
        <v>234.89999999999998</v>
      </c>
      <c r="N28" s="18">
        <f t="shared" si="2"/>
        <v>1539.9</v>
      </c>
    </row>
    <row r="29" spans="2:14" s="77" customFormat="1" ht="26.25" customHeight="1" x14ac:dyDescent="0.25">
      <c r="B29" s="25">
        <v>45775</v>
      </c>
      <c r="C29" s="14" t="s">
        <v>333</v>
      </c>
      <c r="D29" s="15">
        <v>45775</v>
      </c>
      <c r="E29" s="28" t="s">
        <v>334</v>
      </c>
      <c r="F29" s="17" t="s">
        <v>17</v>
      </c>
      <c r="G29" s="17">
        <v>7</v>
      </c>
      <c r="H29" s="29">
        <f>40+10</f>
        <v>50</v>
      </c>
      <c r="I29" s="29">
        <f>41+1+1+1+1+5</f>
        <v>50</v>
      </c>
      <c r="J29" s="17">
        <f>H29-I29</f>
        <v>0</v>
      </c>
      <c r="K29" s="30">
        <v>225</v>
      </c>
      <c r="L29" s="18">
        <f t="shared" si="0"/>
        <v>0</v>
      </c>
      <c r="M29" s="18">
        <f t="shared" si="1"/>
        <v>0</v>
      </c>
      <c r="N29" s="18">
        <f t="shared" si="2"/>
        <v>0</v>
      </c>
    </row>
    <row r="30" spans="2:14" ht="36" customHeight="1" x14ac:dyDescent="0.25">
      <c r="B30" s="19">
        <v>45775</v>
      </c>
      <c r="C30" s="2" t="s">
        <v>327</v>
      </c>
      <c r="D30" s="21">
        <v>45775</v>
      </c>
      <c r="E30" s="4" t="s">
        <v>328</v>
      </c>
      <c r="F30" s="5" t="s">
        <v>17</v>
      </c>
      <c r="G30" s="5">
        <v>3</v>
      </c>
      <c r="H30" s="5">
        <v>15</v>
      </c>
      <c r="I30" s="5">
        <v>0</v>
      </c>
      <c r="J30" s="5">
        <f>H30-I30</f>
        <v>15</v>
      </c>
      <c r="K30" s="6">
        <v>300</v>
      </c>
      <c r="L30" s="6">
        <f t="shared" si="0"/>
        <v>4500</v>
      </c>
      <c r="M30" s="6">
        <f t="shared" si="1"/>
        <v>810</v>
      </c>
      <c r="N30" s="6">
        <f t="shared" si="2"/>
        <v>5310</v>
      </c>
    </row>
    <row r="31" spans="2:14" s="77" customFormat="1" ht="37.5" x14ac:dyDescent="0.25">
      <c r="B31" s="25">
        <v>45771</v>
      </c>
      <c r="C31" s="14" t="s">
        <v>352</v>
      </c>
      <c r="D31" s="15">
        <v>45923</v>
      </c>
      <c r="E31" s="16" t="s">
        <v>353</v>
      </c>
      <c r="F31" s="17" t="s">
        <v>313</v>
      </c>
      <c r="G31" s="17">
        <v>0</v>
      </c>
      <c r="H31" s="17">
        <f>100+30</f>
        <v>130</v>
      </c>
      <c r="I31" s="17">
        <v>108</v>
      </c>
      <c r="J31" s="17">
        <f>H31-I31</f>
        <v>22</v>
      </c>
      <c r="K31" s="18">
        <v>350</v>
      </c>
      <c r="L31" s="18">
        <f t="shared" si="0"/>
        <v>7700</v>
      </c>
      <c r="M31" s="18">
        <f t="shared" si="1"/>
        <v>1386</v>
      </c>
      <c r="N31" s="18">
        <f t="shared" si="2"/>
        <v>9086</v>
      </c>
    </row>
    <row r="32" spans="2:14" s="77" customFormat="1" ht="37.5" x14ac:dyDescent="0.3">
      <c r="B32" s="13">
        <v>45757</v>
      </c>
      <c r="C32" s="32" t="s">
        <v>212</v>
      </c>
      <c r="D32" s="15">
        <v>45757</v>
      </c>
      <c r="E32" s="50" t="s">
        <v>222</v>
      </c>
      <c r="F32" s="35" t="str">
        <f>F28</f>
        <v>UNID.</v>
      </c>
      <c r="G32" s="35">
        <v>0</v>
      </c>
      <c r="H32" s="35">
        <f>11+1</f>
        <v>12</v>
      </c>
      <c r="I32" s="35">
        <v>7</v>
      </c>
      <c r="J32" s="35">
        <f>H32-I32</f>
        <v>5</v>
      </c>
      <c r="K32" s="36">
        <v>3372.66</v>
      </c>
      <c r="L32" s="18">
        <f t="shared" si="0"/>
        <v>16863.3</v>
      </c>
      <c r="M32" s="18">
        <f t="shared" si="1"/>
        <v>3035.3939999999998</v>
      </c>
      <c r="N32" s="18">
        <f t="shared" si="2"/>
        <v>19898.694</v>
      </c>
    </row>
    <row r="33" spans="2:14" ht="27" customHeight="1" x14ac:dyDescent="0.25">
      <c r="B33" s="1">
        <v>45754</v>
      </c>
      <c r="C33" s="2" t="s">
        <v>288</v>
      </c>
      <c r="D33" s="3">
        <v>45754</v>
      </c>
      <c r="E33" s="4" t="s">
        <v>289</v>
      </c>
      <c r="F33" s="5" t="s">
        <v>17</v>
      </c>
      <c r="G33" s="5">
        <v>7</v>
      </c>
      <c r="H33" s="5">
        <f>23+20</f>
        <v>43</v>
      </c>
      <c r="I33" s="5">
        <v>32</v>
      </c>
      <c r="J33" s="5">
        <f>H33-I33</f>
        <v>11</v>
      </c>
      <c r="K33" s="6">
        <v>127</v>
      </c>
      <c r="L33" s="6">
        <f t="shared" si="0"/>
        <v>1397</v>
      </c>
      <c r="M33" s="6">
        <f t="shared" si="1"/>
        <v>251.45999999999998</v>
      </c>
      <c r="N33" s="6">
        <f t="shared" si="2"/>
        <v>1648.46</v>
      </c>
    </row>
    <row r="34" spans="2:14" s="77" customFormat="1" ht="37.5" x14ac:dyDescent="0.25">
      <c r="B34" s="31">
        <f>B33</f>
        <v>45754</v>
      </c>
      <c r="C34" s="32" t="s">
        <v>297</v>
      </c>
      <c r="D34" s="33">
        <v>45754</v>
      </c>
      <c r="E34" s="34" t="s">
        <v>311</v>
      </c>
      <c r="F34" s="35" t="s">
        <v>300</v>
      </c>
      <c r="G34" s="35">
        <v>16</v>
      </c>
      <c r="H34" s="35">
        <v>20</v>
      </c>
      <c r="I34" s="35">
        <v>7</v>
      </c>
      <c r="J34" s="17">
        <f>H34-I34+G34</f>
        <v>29</v>
      </c>
      <c r="K34" s="36">
        <v>196</v>
      </c>
      <c r="L34" s="36">
        <f t="shared" si="0"/>
        <v>5684</v>
      </c>
      <c r="M34" s="36">
        <f t="shared" si="1"/>
        <v>1023.12</v>
      </c>
      <c r="N34" s="36">
        <f t="shared" si="2"/>
        <v>6707.12</v>
      </c>
    </row>
    <row r="35" spans="2:14" s="77" customFormat="1" ht="37.5" x14ac:dyDescent="0.3">
      <c r="B35" s="13">
        <v>45750</v>
      </c>
      <c r="C35" s="32" t="s">
        <v>239</v>
      </c>
      <c r="D35" s="38">
        <v>45750</v>
      </c>
      <c r="E35" s="50" t="s">
        <v>240</v>
      </c>
      <c r="F35" s="35" t="s">
        <v>231</v>
      </c>
      <c r="G35" s="35">
        <v>0</v>
      </c>
      <c r="H35" s="35">
        <f>2+5</f>
        <v>7</v>
      </c>
      <c r="I35" s="35">
        <v>5</v>
      </c>
      <c r="J35" s="35">
        <f>H35-I35</f>
        <v>2</v>
      </c>
      <c r="K35" s="36">
        <v>4221</v>
      </c>
      <c r="L35" s="18">
        <v>8442</v>
      </c>
      <c r="M35" s="18">
        <v>1519.56</v>
      </c>
      <c r="N35" s="18">
        <f t="shared" si="2"/>
        <v>9961.56</v>
      </c>
    </row>
    <row r="36" spans="2:14" ht="37.5" x14ac:dyDescent="0.3">
      <c r="B36" s="1">
        <v>45750</v>
      </c>
      <c r="C36" s="8" t="s">
        <v>241</v>
      </c>
      <c r="D36" s="37">
        <v>45750</v>
      </c>
      <c r="E36" s="51" t="s">
        <v>242</v>
      </c>
      <c r="F36" s="11" t="s">
        <v>231</v>
      </c>
      <c r="G36" s="11">
        <v>0</v>
      </c>
      <c r="H36" s="11">
        <f>5+2</f>
        <v>7</v>
      </c>
      <c r="I36" s="11">
        <v>3</v>
      </c>
      <c r="J36" s="11">
        <f t="shared" ref="J35:J43" si="3">H36-I36</f>
        <v>4</v>
      </c>
      <c r="K36" s="12">
        <v>4221</v>
      </c>
      <c r="L36" s="6">
        <v>8442</v>
      </c>
      <c r="M36" s="6">
        <v>1519.56</v>
      </c>
      <c r="N36" s="6">
        <f t="shared" si="2"/>
        <v>9961.56</v>
      </c>
    </row>
    <row r="37" spans="2:14" ht="56.25" x14ac:dyDescent="0.3">
      <c r="B37" s="1">
        <v>45750</v>
      </c>
      <c r="C37" s="8" t="s">
        <v>243</v>
      </c>
      <c r="D37" s="3">
        <v>45750</v>
      </c>
      <c r="E37" s="51" t="s">
        <v>244</v>
      </c>
      <c r="F37" s="11" t="s">
        <v>231</v>
      </c>
      <c r="G37" s="11">
        <v>0</v>
      </c>
      <c r="H37" s="11">
        <f>5+2</f>
        <v>7</v>
      </c>
      <c r="I37" s="11">
        <v>3</v>
      </c>
      <c r="J37" s="11">
        <f t="shared" si="3"/>
        <v>4</v>
      </c>
      <c r="K37" s="12">
        <v>4221</v>
      </c>
      <c r="L37" s="6">
        <v>8442</v>
      </c>
      <c r="M37" s="6">
        <v>1519.56</v>
      </c>
      <c r="N37" s="6">
        <f t="shared" si="2"/>
        <v>9961.56</v>
      </c>
    </row>
    <row r="38" spans="2:14" ht="56.25" x14ac:dyDescent="0.3">
      <c r="B38" s="1">
        <v>45750</v>
      </c>
      <c r="C38" s="8" t="s">
        <v>245</v>
      </c>
      <c r="D38" s="3">
        <v>45750</v>
      </c>
      <c r="E38" s="51" t="s">
        <v>246</v>
      </c>
      <c r="F38" s="11" t="s">
        <v>231</v>
      </c>
      <c r="G38" s="11">
        <v>0</v>
      </c>
      <c r="H38" s="11">
        <f>5+2</f>
        <v>7</v>
      </c>
      <c r="I38" s="11">
        <v>5</v>
      </c>
      <c r="J38" s="11">
        <f t="shared" si="3"/>
        <v>2</v>
      </c>
      <c r="K38" s="12">
        <v>4221</v>
      </c>
      <c r="L38" s="6">
        <v>8442</v>
      </c>
      <c r="M38" s="6">
        <v>1519.56</v>
      </c>
      <c r="N38" s="6">
        <f t="shared" si="2"/>
        <v>9961.56</v>
      </c>
    </row>
    <row r="39" spans="2:14" s="77" customFormat="1" ht="56.25" x14ac:dyDescent="0.3">
      <c r="B39" s="13">
        <v>45750</v>
      </c>
      <c r="C39" s="32" t="s">
        <v>247</v>
      </c>
      <c r="D39" s="15">
        <v>45750</v>
      </c>
      <c r="E39" s="50" t="s">
        <v>248</v>
      </c>
      <c r="F39" s="35" t="s">
        <v>231</v>
      </c>
      <c r="G39" s="35">
        <v>4</v>
      </c>
      <c r="H39" s="35">
        <f>4+7</f>
        <v>11</v>
      </c>
      <c r="I39" s="35">
        <v>7</v>
      </c>
      <c r="J39" s="35">
        <f t="shared" si="3"/>
        <v>4</v>
      </c>
      <c r="K39" s="36">
        <v>2934</v>
      </c>
      <c r="L39" s="18">
        <v>11736</v>
      </c>
      <c r="M39" s="18">
        <f>L39*18%</f>
        <v>2112.48</v>
      </c>
      <c r="N39" s="18">
        <f t="shared" si="2"/>
        <v>13848.48</v>
      </c>
    </row>
    <row r="40" spans="2:14" s="77" customFormat="1" ht="56.25" x14ac:dyDescent="0.3">
      <c r="B40" s="13">
        <v>45750</v>
      </c>
      <c r="C40" s="32" t="s">
        <v>249</v>
      </c>
      <c r="D40" s="15">
        <v>45750</v>
      </c>
      <c r="E40" s="50" t="s">
        <v>250</v>
      </c>
      <c r="F40" s="35" t="s">
        <v>231</v>
      </c>
      <c r="G40" s="35">
        <v>4</v>
      </c>
      <c r="H40" s="35">
        <f>4+7</f>
        <v>11</v>
      </c>
      <c r="I40" s="35">
        <v>8</v>
      </c>
      <c r="J40" s="35">
        <f t="shared" si="3"/>
        <v>3</v>
      </c>
      <c r="K40" s="36">
        <v>1877</v>
      </c>
      <c r="L40" s="18">
        <v>7508</v>
      </c>
      <c r="M40" s="18">
        <f>L40*18%</f>
        <v>1351.44</v>
      </c>
      <c r="N40" s="18">
        <f t="shared" si="2"/>
        <v>8859.44</v>
      </c>
    </row>
    <row r="41" spans="2:14" ht="56.25" x14ac:dyDescent="0.3">
      <c r="B41" s="1">
        <v>45750</v>
      </c>
      <c r="C41" s="32" t="s">
        <v>251</v>
      </c>
      <c r="D41" s="3">
        <v>45750</v>
      </c>
      <c r="E41" s="51" t="s">
        <v>252</v>
      </c>
      <c r="F41" s="11" t="s">
        <v>231</v>
      </c>
      <c r="G41" s="11">
        <v>4</v>
      </c>
      <c r="H41" s="11">
        <f>4+7</f>
        <v>11</v>
      </c>
      <c r="I41" s="11">
        <v>9</v>
      </c>
      <c r="J41" s="11">
        <f t="shared" si="3"/>
        <v>2</v>
      </c>
      <c r="K41" s="12">
        <v>1877</v>
      </c>
      <c r="L41" s="6">
        <v>7508</v>
      </c>
      <c r="M41" s="6">
        <f>L41*18%</f>
        <v>1351.44</v>
      </c>
      <c r="N41" s="6">
        <f t="shared" si="2"/>
        <v>8859.44</v>
      </c>
    </row>
    <row r="42" spans="2:14" s="77" customFormat="1" ht="56.25" x14ac:dyDescent="0.3">
      <c r="B42" s="13">
        <v>45750</v>
      </c>
      <c r="C42" s="32" t="s">
        <v>253</v>
      </c>
      <c r="D42" s="15">
        <v>45750</v>
      </c>
      <c r="E42" s="50" t="s">
        <v>254</v>
      </c>
      <c r="F42" s="35" t="s">
        <v>231</v>
      </c>
      <c r="G42" s="35">
        <v>4</v>
      </c>
      <c r="H42" s="35">
        <f>4+7</f>
        <v>11</v>
      </c>
      <c r="I42" s="35">
        <v>8</v>
      </c>
      <c r="J42" s="35">
        <f t="shared" si="3"/>
        <v>3</v>
      </c>
      <c r="K42" s="36">
        <v>1877</v>
      </c>
      <c r="L42" s="18">
        <v>7508</v>
      </c>
      <c r="M42" s="18">
        <f>L42*18%</f>
        <v>1351.44</v>
      </c>
      <c r="N42" s="18">
        <f t="shared" si="2"/>
        <v>8859.44</v>
      </c>
    </row>
    <row r="43" spans="2:14" s="77" customFormat="1" ht="37.5" x14ac:dyDescent="0.3">
      <c r="B43" s="13">
        <v>45750</v>
      </c>
      <c r="C43" s="32" t="s">
        <v>199</v>
      </c>
      <c r="D43" s="38">
        <v>45750</v>
      </c>
      <c r="E43" s="50" t="s">
        <v>232</v>
      </c>
      <c r="F43" s="35" t="s">
        <v>231</v>
      </c>
      <c r="G43" s="35">
        <v>0</v>
      </c>
      <c r="H43" s="35">
        <v>2</v>
      </c>
      <c r="I43" s="35">
        <v>1</v>
      </c>
      <c r="J43" s="35">
        <f t="shared" si="3"/>
        <v>1</v>
      </c>
      <c r="K43" s="36">
        <v>3771</v>
      </c>
      <c r="L43" s="18">
        <v>7542</v>
      </c>
      <c r="M43" s="18">
        <v>1357.56</v>
      </c>
      <c r="N43" s="18">
        <f t="shared" si="2"/>
        <v>8899.56</v>
      </c>
    </row>
    <row r="44" spans="2:14" ht="37.5" x14ac:dyDescent="0.3">
      <c r="B44" s="1">
        <v>45750</v>
      </c>
      <c r="C44" s="32" t="s">
        <v>233</v>
      </c>
      <c r="D44" s="37">
        <v>45750</v>
      </c>
      <c r="E44" s="50" t="s">
        <v>234</v>
      </c>
      <c r="F44" s="35" t="s">
        <v>231</v>
      </c>
      <c r="G44" s="35">
        <v>0</v>
      </c>
      <c r="H44" s="35">
        <v>2</v>
      </c>
      <c r="I44" s="35">
        <v>0</v>
      </c>
      <c r="J44" s="35">
        <v>2</v>
      </c>
      <c r="K44" s="36">
        <v>3771</v>
      </c>
      <c r="L44" s="18">
        <v>7542</v>
      </c>
      <c r="M44" s="18">
        <v>1357.56</v>
      </c>
      <c r="N44" s="18">
        <f t="shared" si="2"/>
        <v>8899.56</v>
      </c>
    </row>
    <row r="45" spans="2:14" ht="37.5" x14ac:dyDescent="0.3">
      <c r="B45" s="13">
        <v>45750</v>
      </c>
      <c r="C45" s="32" t="s">
        <v>235</v>
      </c>
      <c r="D45" s="38">
        <v>45750</v>
      </c>
      <c r="E45" s="50" t="s">
        <v>236</v>
      </c>
      <c r="F45" s="35" t="s">
        <v>231</v>
      </c>
      <c r="G45" s="35">
        <v>0</v>
      </c>
      <c r="H45" s="35">
        <v>2</v>
      </c>
      <c r="I45" s="35">
        <v>1</v>
      </c>
      <c r="J45" s="35">
        <f>H45-I45</f>
        <v>1</v>
      </c>
      <c r="K45" s="36">
        <v>3771</v>
      </c>
      <c r="L45" s="18">
        <v>7542</v>
      </c>
      <c r="M45" s="18">
        <v>1357.56</v>
      </c>
      <c r="N45" s="18">
        <f t="shared" si="2"/>
        <v>8899.56</v>
      </c>
    </row>
    <row r="46" spans="2:14" ht="37.5" x14ac:dyDescent="0.3">
      <c r="B46" s="1">
        <v>45750</v>
      </c>
      <c r="C46" s="32" t="s">
        <v>237</v>
      </c>
      <c r="D46" s="37">
        <v>45750</v>
      </c>
      <c r="E46" s="50" t="s">
        <v>238</v>
      </c>
      <c r="F46" s="35" t="s">
        <v>231</v>
      </c>
      <c r="G46" s="35">
        <v>0</v>
      </c>
      <c r="H46" s="35">
        <v>2</v>
      </c>
      <c r="I46" s="35">
        <v>0</v>
      </c>
      <c r="J46" s="35">
        <v>2</v>
      </c>
      <c r="K46" s="36">
        <v>3771</v>
      </c>
      <c r="L46" s="18">
        <v>7542</v>
      </c>
      <c r="M46" s="18">
        <v>1357.56</v>
      </c>
      <c r="N46" s="18">
        <f t="shared" si="2"/>
        <v>8899.56</v>
      </c>
    </row>
    <row r="47" spans="2:14" s="77" customFormat="1" ht="37.5" x14ac:dyDescent="0.3">
      <c r="B47" s="13">
        <v>45750</v>
      </c>
      <c r="C47" s="14" t="s">
        <v>197</v>
      </c>
      <c r="D47" s="15">
        <v>45750</v>
      </c>
      <c r="E47" s="47" t="s">
        <v>198</v>
      </c>
      <c r="F47" s="17" t="s">
        <v>17</v>
      </c>
      <c r="G47" s="17">
        <v>3</v>
      </c>
      <c r="H47" s="35">
        <v>14</v>
      </c>
      <c r="I47" s="35">
        <v>8</v>
      </c>
      <c r="J47" s="17">
        <f>H47-I47+G47</f>
        <v>9</v>
      </c>
      <c r="K47" s="36">
        <v>5194.0200000000004</v>
      </c>
      <c r="L47" s="18">
        <f t="shared" ref="L47:L78" si="4">J47*K47</f>
        <v>46746.180000000008</v>
      </c>
      <c r="M47" s="18">
        <f>L47*18%</f>
        <v>8414.3124000000007</v>
      </c>
      <c r="N47" s="18">
        <f t="shared" ref="N47:N78" si="5">L47+M47</f>
        <v>55160.49240000001</v>
      </c>
    </row>
    <row r="48" spans="2:14" ht="35.25" customHeight="1" x14ac:dyDescent="0.3">
      <c r="B48" s="1">
        <v>45750</v>
      </c>
      <c r="C48" s="2" t="s">
        <v>199</v>
      </c>
      <c r="D48" s="37">
        <v>45750</v>
      </c>
      <c r="E48" s="46" t="s">
        <v>200</v>
      </c>
      <c r="F48" s="5" t="s">
        <v>17</v>
      </c>
      <c r="G48" s="5">
        <v>10</v>
      </c>
      <c r="H48" s="11">
        <v>14</v>
      </c>
      <c r="I48" s="11">
        <v>19</v>
      </c>
      <c r="J48" s="5">
        <f>H48-I48+G48</f>
        <v>5</v>
      </c>
      <c r="K48" s="12">
        <v>4206.6099999999997</v>
      </c>
      <c r="L48" s="6">
        <f t="shared" si="4"/>
        <v>21033.05</v>
      </c>
      <c r="M48" s="6">
        <f>L48*18%</f>
        <v>3785.9489999999996</v>
      </c>
      <c r="N48" s="6">
        <f t="shared" si="5"/>
        <v>24818.999</v>
      </c>
    </row>
    <row r="49" spans="2:14" s="77" customFormat="1" ht="37.5" x14ac:dyDescent="0.3">
      <c r="B49" s="13">
        <v>45750</v>
      </c>
      <c r="C49" s="32" t="s">
        <v>212</v>
      </c>
      <c r="D49" s="38">
        <v>45750</v>
      </c>
      <c r="E49" s="50" t="s">
        <v>223</v>
      </c>
      <c r="F49" s="35" t="str">
        <f>F48</f>
        <v>UNID.</v>
      </c>
      <c r="G49" s="35">
        <v>1</v>
      </c>
      <c r="H49" s="35">
        <v>13</v>
      </c>
      <c r="I49" s="35">
        <v>5</v>
      </c>
      <c r="J49" s="35">
        <f>H49-I49</f>
        <v>8</v>
      </c>
      <c r="K49" s="36">
        <v>3372.66</v>
      </c>
      <c r="L49" s="18">
        <f t="shared" si="4"/>
        <v>26981.279999999999</v>
      </c>
      <c r="M49" s="18">
        <f>L49*18%</f>
        <v>4856.6304</v>
      </c>
      <c r="N49" s="18">
        <f t="shared" si="5"/>
        <v>31837.910400000001</v>
      </c>
    </row>
    <row r="50" spans="2:14" ht="39.75" customHeight="1" x14ac:dyDescent="0.3">
      <c r="B50" s="1">
        <v>45750</v>
      </c>
      <c r="C50" s="32" t="s">
        <v>212</v>
      </c>
      <c r="D50" s="37">
        <v>45750</v>
      </c>
      <c r="E50" s="50" t="s">
        <v>224</v>
      </c>
      <c r="F50" s="35" t="str">
        <f>F49</f>
        <v>UNID.</v>
      </c>
      <c r="G50" s="35">
        <v>0</v>
      </c>
      <c r="H50" s="35">
        <v>12</v>
      </c>
      <c r="I50" s="35">
        <v>4</v>
      </c>
      <c r="J50" s="35">
        <f>H50-I50</f>
        <v>8</v>
      </c>
      <c r="K50" s="36">
        <v>3372.66</v>
      </c>
      <c r="L50" s="18">
        <f t="shared" si="4"/>
        <v>26981.279999999999</v>
      </c>
      <c r="M50" s="18">
        <f>L50*18%</f>
        <v>4856.6304</v>
      </c>
      <c r="N50" s="18">
        <f t="shared" si="5"/>
        <v>31837.910400000001</v>
      </c>
    </row>
    <row r="51" spans="2:14" ht="37.5" x14ac:dyDescent="0.3">
      <c r="B51" s="1">
        <v>45750</v>
      </c>
      <c r="C51" s="32" t="s">
        <v>212</v>
      </c>
      <c r="D51" s="37">
        <v>45750</v>
      </c>
      <c r="E51" s="50" t="s">
        <v>225</v>
      </c>
      <c r="F51" s="35" t="str">
        <f>F50</f>
        <v>UNID.</v>
      </c>
      <c r="G51" s="35">
        <v>0</v>
      </c>
      <c r="H51" s="35">
        <v>12</v>
      </c>
      <c r="I51" s="35">
        <v>5</v>
      </c>
      <c r="J51" s="35">
        <f>H51-I51</f>
        <v>7</v>
      </c>
      <c r="K51" s="36">
        <v>3048.59</v>
      </c>
      <c r="L51" s="18">
        <f t="shared" si="4"/>
        <v>21340.13</v>
      </c>
      <c r="M51" s="18">
        <f>L51*18%</f>
        <v>3841.2233999999999</v>
      </c>
      <c r="N51" s="18">
        <f t="shared" si="5"/>
        <v>25181.3534</v>
      </c>
    </row>
    <row r="52" spans="2:14" s="77" customFormat="1" ht="27" customHeight="1" x14ac:dyDescent="0.25">
      <c r="B52" s="13">
        <v>45750</v>
      </c>
      <c r="C52" s="32" t="s">
        <v>212</v>
      </c>
      <c r="D52" s="38">
        <v>45750</v>
      </c>
      <c r="E52" s="34" t="s">
        <v>226</v>
      </c>
      <c r="F52" s="35" t="s">
        <v>17</v>
      </c>
      <c r="G52" s="35">
        <v>0</v>
      </c>
      <c r="H52" s="35">
        <v>4</v>
      </c>
      <c r="I52" s="35">
        <f>1+1</f>
        <v>2</v>
      </c>
      <c r="J52" s="35">
        <f>H52+G52-I52</f>
        <v>2</v>
      </c>
      <c r="K52" s="36">
        <v>3943</v>
      </c>
      <c r="L52" s="18">
        <f t="shared" si="4"/>
        <v>7886</v>
      </c>
      <c r="M52" s="18">
        <v>2838.96</v>
      </c>
      <c r="N52" s="18">
        <f t="shared" si="5"/>
        <v>10724.96</v>
      </c>
    </row>
    <row r="53" spans="2:14" ht="32.25" customHeight="1" x14ac:dyDescent="0.25">
      <c r="B53" s="1">
        <v>45404</v>
      </c>
      <c r="C53" s="2" t="s">
        <v>337</v>
      </c>
      <c r="D53" s="3">
        <v>45404</v>
      </c>
      <c r="E53" s="4" t="s">
        <v>338</v>
      </c>
      <c r="F53" s="5" t="s">
        <v>17</v>
      </c>
      <c r="G53" s="5">
        <v>0</v>
      </c>
      <c r="H53" s="5">
        <v>6</v>
      </c>
      <c r="I53" s="5">
        <v>4</v>
      </c>
      <c r="J53" s="5">
        <f>H53-I53</f>
        <v>2</v>
      </c>
      <c r="K53" s="6">
        <v>435</v>
      </c>
      <c r="L53" s="6">
        <f t="shared" si="4"/>
        <v>870</v>
      </c>
      <c r="M53" s="6">
        <f t="shared" ref="M53:M84" si="6">L53*18%</f>
        <v>156.6</v>
      </c>
      <c r="N53" s="6">
        <f t="shared" si="5"/>
        <v>1026.5999999999999</v>
      </c>
    </row>
    <row r="54" spans="2:14" s="77" customFormat="1" ht="37.5" x14ac:dyDescent="0.25">
      <c r="B54" s="25">
        <v>45404</v>
      </c>
      <c r="C54" s="14" t="s">
        <v>343</v>
      </c>
      <c r="D54" s="15">
        <v>45404</v>
      </c>
      <c r="E54" s="16" t="s">
        <v>344</v>
      </c>
      <c r="F54" s="17" t="s">
        <v>345</v>
      </c>
      <c r="G54" s="17">
        <v>0</v>
      </c>
      <c r="H54" s="17">
        <f>100+10</f>
        <v>110</v>
      </c>
      <c r="I54" s="17">
        <f>45+6+2+2+5</f>
        <v>60</v>
      </c>
      <c r="J54" s="17">
        <f>H54-I54</f>
        <v>50</v>
      </c>
      <c r="K54" s="18">
        <v>110</v>
      </c>
      <c r="L54" s="18">
        <f t="shared" si="4"/>
        <v>5500</v>
      </c>
      <c r="M54" s="18">
        <f t="shared" si="6"/>
        <v>990</v>
      </c>
      <c r="N54" s="18">
        <f t="shared" si="5"/>
        <v>6490</v>
      </c>
    </row>
    <row r="55" spans="2:14" ht="32.25" customHeight="1" x14ac:dyDescent="0.25">
      <c r="B55" s="19">
        <v>45177</v>
      </c>
      <c r="C55" s="2" t="s">
        <v>283</v>
      </c>
      <c r="D55" s="21">
        <v>45177</v>
      </c>
      <c r="E55" s="4" t="s">
        <v>356</v>
      </c>
      <c r="F55" s="5" t="s">
        <v>17</v>
      </c>
      <c r="G55" s="5">
        <v>0</v>
      </c>
      <c r="H55" s="5">
        <v>10</v>
      </c>
      <c r="I55" s="5">
        <v>1</v>
      </c>
      <c r="J55" s="5">
        <f>H55-I55</f>
        <v>9</v>
      </c>
      <c r="K55" s="6">
        <v>177</v>
      </c>
      <c r="L55" s="6">
        <f t="shared" si="4"/>
        <v>1593</v>
      </c>
      <c r="M55" s="6">
        <f t="shared" si="6"/>
        <v>286.74</v>
      </c>
      <c r="N55" s="6">
        <f t="shared" si="5"/>
        <v>1879.74</v>
      </c>
    </row>
    <row r="56" spans="2:14" ht="29.25" customHeight="1" x14ac:dyDescent="0.25">
      <c r="B56" s="1">
        <v>45006</v>
      </c>
      <c r="C56" s="2" t="s">
        <v>280</v>
      </c>
      <c r="D56" s="3">
        <v>45006</v>
      </c>
      <c r="E56" s="4" t="s">
        <v>281</v>
      </c>
      <c r="F56" s="5" t="s">
        <v>17</v>
      </c>
      <c r="G56" s="5">
        <v>16</v>
      </c>
      <c r="H56" s="5">
        <v>101</v>
      </c>
      <c r="I56" s="5">
        <v>40</v>
      </c>
      <c r="J56" s="5">
        <f>H56-I56</f>
        <v>61</v>
      </c>
      <c r="K56" s="6">
        <v>70</v>
      </c>
      <c r="L56" s="6">
        <f t="shared" si="4"/>
        <v>4270</v>
      </c>
      <c r="M56" s="6">
        <f t="shared" si="6"/>
        <v>768.6</v>
      </c>
      <c r="N56" s="6">
        <f t="shared" si="5"/>
        <v>5038.6000000000004</v>
      </c>
    </row>
    <row r="57" spans="2:14" s="77" customFormat="1" ht="37.5" x14ac:dyDescent="0.25">
      <c r="B57" s="13">
        <v>45006</v>
      </c>
      <c r="C57" s="14" t="s">
        <v>292</v>
      </c>
      <c r="D57" s="15">
        <v>45006</v>
      </c>
      <c r="E57" s="16" t="s">
        <v>322</v>
      </c>
      <c r="F57" s="17" t="s">
        <v>17</v>
      </c>
      <c r="G57" s="17">
        <v>0</v>
      </c>
      <c r="H57" s="17">
        <v>15</v>
      </c>
      <c r="I57" s="17">
        <v>9</v>
      </c>
      <c r="J57" s="17">
        <f>H57-I57</f>
        <v>6</v>
      </c>
      <c r="K57" s="18">
        <v>46.62</v>
      </c>
      <c r="L57" s="18">
        <f t="shared" si="4"/>
        <v>279.71999999999997</v>
      </c>
      <c r="M57" s="18">
        <f t="shared" si="6"/>
        <v>50.349599999999995</v>
      </c>
      <c r="N57" s="18">
        <f t="shared" si="5"/>
        <v>330.06959999999998</v>
      </c>
    </row>
    <row r="58" spans="2:14" ht="37.5" x14ac:dyDescent="0.25">
      <c r="B58" s="13">
        <v>44788</v>
      </c>
      <c r="C58" s="14" t="s">
        <v>47</v>
      </c>
      <c r="D58" s="15">
        <v>44788</v>
      </c>
      <c r="E58" s="16" t="s">
        <v>68</v>
      </c>
      <c r="F58" s="17" t="s">
        <v>17</v>
      </c>
      <c r="G58" s="17">
        <v>0</v>
      </c>
      <c r="H58" s="17">
        <v>20</v>
      </c>
      <c r="I58" s="17">
        <v>18</v>
      </c>
      <c r="J58" s="17">
        <f>+H58-I58</f>
        <v>2</v>
      </c>
      <c r="K58" s="18">
        <v>150.53</v>
      </c>
      <c r="L58" s="18">
        <f t="shared" si="4"/>
        <v>301.06</v>
      </c>
      <c r="M58" s="18">
        <f t="shared" si="6"/>
        <v>54.190799999999996</v>
      </c>
      <c r="N58" s="18">
        <f t="shared" si="5"/>
        <v>355.25080000000003</v>
      </c>
    </row>
    <row r="59" spans="2:14" s="77" customFormat="1" ht="27" customHeight="1" x14ac:dyDescent="0.25">
      <c r="B59" s="13">
        <v>44788</v>
      </c>
      <c r="C59" s="14" t="s">
        <v>88</v>
      </c>
      <c r="D59" s="15">
        <v>44788</v>
      </c>
      <c r="E59" s="16" t="s">
        <v>89</v>
      </c>
      <c r="F59" s="17" t="s">
        <v>17</v>
      </c>
      <c r="G59" s="17"/>
      <c r="H59" s="17">
        <v>180</v>
      </c>
      <c r="I59" s="17">
        <f>40+2+1+1+6</f>
        <v>50</v>
      </c>
      <c r="J59" s="17">
        <f t="shared" ref="J59:J72" si="7">H59-I59</f>
        <v>130</v>
      </c>
      <c r="K59" s="18">
        <v>17</v>
      </c>
      <c r="L59" s="18">
        <f t="shared" si="4"/>
        <v>2210</v>
      </c>
      <c r="M59" s="18">
        <f t="shared" si="6"/>
        <v>397.8</v>
      </c>
      <c r="N59" s="18">
        <f t="shared" si="5"/>
        <v>2607.8000000000002</v>
      </c>
    </row>
    <row r="60" spans="2:14" ht="37.5" x14ac:dyDescent="0.25">
      <c r="B60" s="1">
        <v>44788</v>
      </c>
      <c r="C60" s="2" t="s">
        <v>108</v>
      </c>
      <c r="D60" s="3">
        <v>44788</v>
      </c>
      <c r="E60" s="4" t="s">
        <v>109</v>
      </c>
      <c r="F60" s="5" t="s">
        <v>71</v>
      </c>
      <c r="G60" s="5">
        <v>4</v>
      </c>
      <c r="H60" s="5">
        <v>4</v>
      </c>
      <c r="I60" s="5">
        <v>1</v>
      </c>
      <c r="J60" s="5">
        <f t="shared" si="7"/>
        <v>3</v>
      </c>
      <c r="K60" s="6">
        <v>447.27</v>
      </c>
      <c r="L60" s="6">
        <f t="shared" si="4"/>
        <v>1341.81</v>
      </c>
      <c r="M60" s="6">
        <f t="shared" si="6"/>
        <v>241.52579999999998</v>
      </c>
      <c r="N60" s="6">
        <f t="shared" si="5"/>
        <v>1583.3357999999998</v>
      </c>
    </row>
    <row r="61" spans="2:14" ht="35.25" customHeight="1" x14ac:dyDescent="0.25">
      <c r="B61" s="19">
        <v>44788</v>
      </c>
      <c r="C61" s="20" t="s">
        <v>108</v>
      </c>
      <c r="D61" s="21">
        <v>44788</v>
      </c>
      <c r="E61" s="22" t="s">
        <v>111</v>
      </c>
      <c r="F61" s="23" t="s">
        <v>71</v>
      </c>
      <c r="G61" s="23">
        <v>0</v>
      </c>
      <c r="H61" s="23">
        <v>150</v>
      </c>
      <c r="I61" s="23">
        <f>27+1+2</f>
        <v>30</v>
      </c>
      <c r="J61" s="23">
        <f t="shared" si="7"/>
        <v>120</v>
      </c>
      <c r="K61" s="24">
        <v>525.41999999999996</v>
      </c>
      <c r="L61" s="24">
        <f t="shared" si="4"/>
        <v>63050.399999999994</v>
      </c>
      <c r="M61" s="24">
        <f t="shared" si="6"/>
        <v>11349.071999999998</v>
      </c>
      <c r="N61" s="24">
        <f t="shared" si="5"/>
        <v>74399.471999999994</v>
      </c>
    </row>
    <row r="62" spans="2:14" s="77" customFormat="1" ht="23.25" customHeight="1" x14ac:dyDescent="0.25">
      <c r="B62" s="25">
        <f>B60</f>
        <v>44788</v>
      </c>
      <c r="C62" s="26" t="s">
        <v>113</v>
      </c>
      <c r="D62" s="27">
        <f>D60</f>
        <v>44788</v>
      </c>
      <c r="E62" s="28" t="s">
        <v>112</v>
      </c>
      <c r="F62" s="29" t="s">
        <v>17</v>
      </c>
      <c r="G62" s="29">
        <v>338</v>
      </c>
      <c r="H62" s="29">
        <f>350+400</f>
        <v>750</v>
      </c>
      <c r="I62" s="29">
        <v>11</v>
      </c>
      <c r="J62" s="29">
        <f t="shared" si="7"/>
        <v>739</v>
      </c>
      <c r="K62" s="30">
        <v>11</v>
      </c>
      <c r="L62" s="30">
        <f t="shared" si="4"/>
        <v>8129</v>
      </c>
      <c r="M62" s="30">
        <f t="shared" si="6"/>
        <v>1463.22</v>
      </c>
      <c r="N62" s="30">
        <f t="shared" si="5"/>
        <v>9592.2199999999993</v>
      </c>
    </row>
    <row r="63" spans="2:14" ht="23.25" customHeight="1" x14ac:dyDescent="0.25">
      <c r="B63" s="19">
        <f>B62</f>
        <v>44788</v>
      </c>
      <c r="C63" s="20" t="s">
        <v>103</v>
      </c>
      <c r="D63" s="21">
        <f>D62</f>
        <v>44788</v>
      </c>
      <c r="E63" s="22" t="s">
        <v>114</v>
      </c>
      <c r="F63" s="23" t="s">
        <v>17</v>
      </c>
      <c r="G63" s="23">
        <v>98</v>
      </c>
      <c r="H63" s="23">
        <v>100</v>
      </c>
      <c r="I63" s="23">
        <v>6</v>
      </c>
      <c r="J63" s="23">
        <f t="shared" si="7"/>
        <v>94</v>
      </c>
      <c r="K63" s="24">
        <v>10</v>
      </c>
      <c r="L63" s="24">
        <f t="shared" si="4"/>
        <v>940</v>
      </c>
      <c r="M63" s="24">
        <f t="shared" si="6"/>
        <v>169.2</v>
      </c>
      <c r="N63" s="24">
        <f t="shared" si="5"/>
        <v>1109.2</v>
      </c>
    </row>
    <row r="64" spans="2:14" ht="25.5" customHeight="1" x14ac:dyDescent="0.25">
      <c r="B64" s="25">
        <f>B63</f>
        <v>44788</v>
      </c>
      <c r="C64" s="26" t="s">
        <v>103</v>
      </c>
      <c r="D64" s="27">
        <f>D63</f>
        <v>44788</v>
      </c>
      <c r="E64" s="28" t="s">
        <v>115</v>
      </c>
      <c r="F64" s="29" t="str">
        <f>F59</f>
        <v>UNID.</v>
      </c>
      <c r="G64" s="29">
        <v>2</v>
      </c>
      <c r="H64" s="29">
        <v>2</v>
      </c>
      <c r="I64" s="29">
        <v>0</v>
      </c>
      <c r="J64" s="29">
        <f t="shared" si="7"/>
        <v>2</v>
      </c>
      <c r="K64" s="30">
        <v>450</v>
      </c>
      <c r="L64" s="30">
        <f t="shared" si="4"/>
        <v>900</v>
      </c>
      <c r="M64" s="30">
        <f t="shared" si="6"/>
        <v>162</v>
      </c>
      <c r="N64" s="30">
        <f t="shared" si="5"/>
        <v>1062</v>
      </c>
    </row>
    <row r="65" spans="2:14" s="77" customFormat="1" ht="35.25" customHeight="1" x14ac:dyDescent="0.25">
      <c r="B65" s="13">
        <v>44788</v>
      </c>
      <c r="C65" s="14" t="s">
        <v>178</v>
      </c>
      <c r="D65" s="15">
        <v>44788</v>
      </c>
      <c r="E65" s="16" t="s">
        <v>179</v>
      </c>
      <c r="F65" s="17" t="s">
        <v>17</v>
      </c>
      <c r="G65" s="17"/>
      <c r="H65" s="17">
        <v>15</v>
      </c>
      <c r="I65" s="17">
        <v>7</v>
      </c>
      <c r="J65" s="17">
        <f t="shared" si="7"/>
        <v>8</v>
      </c>
      <c r="K65" s="18">
        <v>299</v>
      </c>
      <c r="L65" s="18">
        <f t="shared" si="4"/>
        <v>2392</v>
      </c>
      <c r="M65" s="18">
        <f t="shared" si="6"/>
        <v>430.56</v>
      </c>
      <c r="N65" s="18">
        <f t="shared" si="5"/>
        <v>2822.56</v>
      </c>
    </row>
    <row r="66" spans="2:14" ht="30" customHeight="1" x14ac:dyDescent="0.25">
      <c r="B66" s="1">
        <v>44788</v>
      </c>
      <c r="C66" s="2" t="s">
        <v>162</v>
      </c>
      <c r="D66" s="33">
        <v>44788</v>
      </c>
      <c r="E66" s="34" t="s">
        <v>191</v>
      </c>
      <c r="F66" s="35" t="s">
        <v>17</v>
      </c>
      <c r="G66" s="35">
        <v>0</v>
      </c>
      <c r="H66" s="35">
        <v>1</v>
      </c>
      <c r="I66" s="35">
        <v>1</v>
      </c>
      <c r="J66" s="35">
        <f t="shared" si="7"/>
        <v>0</v>
      </c>
      <c r="K66" s="35">
        <v>9409.5300000000007</v>
      </c>
      <c r="L66" s="6">
        <f t="shared" si="4"/>
        <v>0</v>
      </c>
      <c r="M66" s="6">
        <f t="shared" si="6"/>
        <v>0</v>
      </c>
      <c r="N66" s="6">
        <f t="shared" si="5"/>
        <v>0</v>
      </c>
    </row>
    <row r="67" spans="2:14" ht="23.25" customHeight="1" x14ac:dyDescent="0.25">
      <c r="B67" s="31">
        <v>44788</v>
      </c>
      <c r="C67" s="2" t="s">
        <v>162</v>
      </c>
      <c r="D67" s="33">
        <v>44788</v>
      </c>
      <c r="E67" s="34" t="s">
        <v>189</v>
      </c>
      <c r="F67" s="35" t="s">
        <v>17</v>
      </c>
      <c r="G67" s="35">
        <v>0</v>
      </c>
      <c r="H67" s="35">
        <v>1</v>
      </c>
      <c r="I67" s="35">
        <v>1</v>
      </c>
      <c r="J67" s="35">
        <f t="shared" si="7"/>
        <v>0</v>
      </c>
      <c r="K67" s="35">
        <v>4866.78</v>
      </c>
      <c r="L67" s="6">
        <f t="shared" si="4"/>
        <v>0</v>
      </c>
      <c r="M67" s="6">
        <f t="shared" si="6"/>
        <v>0</v>
      </c>
      <c r="N67" s="6">
        <f t="shared" si="5"/>
        <v>0</v>
      </c>
    </row>
    <row r="68" spans="2:14" ht="25.5" customHeight="1" x14ac:dyDescent="0.25">
      <c r="B68" s="31">
        <v>44788</v>
      </c>
      <c r="C68" s="2" t="s">
        <v>162</v>
      </c>
      <c r="D68" s="33">
        <v>44788</v>
      </c>
      <c r="E68" s="34" t="s">
        <v>190</v>
      </c>
      <c r="F68" s="35" t="s">
        <v>17</v>
      </c>
      <c r="G68" s="35">
        <v>0</v>
      </c>
      <c r="H68" s="35">
        <v>1</v>
      </c>
      <c r="I68" s="35">
        <v>1</v>
      </c>
      <c r="J68" s="35">
        <f t="shared" si="7"/>
        <v>0</v>
      </c>
      <c r="K68" s="35">
        <v>18001.919999999998</v>
      </c>
      <c r="L68" s="6">
        <f t="shared" si="4"/>
        <v>0</v>
      </c>
      <c r="M68" s="6">
        <f t="shared" si="6"/>
        <v>0</v>
      </c>
      <c r="N68" s="6">
        <f t="shared" si="5"/>
        <v>0</v>
      </c>
    </row>
    <row r="69" spans="2:14" ht="37.5" x14ac:dyDescent="0.25">
      <c r="B69" s="31">
        <v>44788</v>
      </c>
      <c r="C69" s="2" t="s">
        <v>162</v>
      </c>
      <c r="D69" s="33">
        <v>44788</v>
      </c>
      <c r="E69" s="34" t="s">
        <v>192</v>
      </c>
      <c r="F69" s="35" t="s">
        <v>17</v>
      </c>
      <c r="G69" s="35">
        <v>0</v>
      </c>
      <c r="H69" s="35">
        <v>1</v>
      </c>
      <c r="I69" s="35">
        <v>1</v>
      </c>
      <c r="J69" s="35">
        <f t="shared" si="7"/>
        <v>0</v>
      </c>
      <c r="K69" s="35">
        <v>1355.93</v>
      </c>
      <c r="L69" s="6">
        <f t="shared" si="4"/>
        <v>0</v>
      </c>
      <c r="M69" s="6">
        <f t="shared" si="6"/>
        <v>0</v>
      </c>
      <c r="N69" s="6">
        <f t="shared" si="5"/>
        <v>0</v>
      </c>
    </row>
    <row r="70" spans="2:14" ht="37.5" x14ac:dyDescent="0.25">
      <c r="B70" s="1">
        <v>44788</v>
      </c>
      <c r="C70" s="2" t="s">
        <v>162</v>
      </c>
      <c r="D70" s="3">
        <v>44788</v>
      </c>
      <c r="E70" s="4" t="s">
        <v>177</v>
      </c>
      <c r="F70" s="5" t="s">
        <v>17</v>
      </c>
      <c r="G70" s="5">
        <v>0</v>
      </c>
      <c r="H70" s="5">
        <v>10</v>
      </c>
      <c r="I70" s="5">
        <v>10</v>
      </c>
      <c r="J70" s="5">
        <f t="shared" si="7"/>
        <v>0</v>
      </c>
      <c r="K70" s="6">
        <v>187</v>
      </c>
      <c r="L70" s="6">
        <f t="shared" si="4"/>
        <v>0</v>
      </c>
      <c r="M70" s="6">
        <f t="shared" si="6"/>
        <v>0</v>
      </c>
      <c r="N70" s="6">
        <f t="shared" si="5"/>
        <v>0</v>
      </c>
    </row>
    <row r="71" spans="2:14" s="77" customFormat="1" ht="37.5" x14ac:dyDescent="0.25">
      <c r="B71" s="13">
        <v>44788</v>
      </c>
      <c r="C71" s="14" t="s">
        <v>162</v>
      </c>
      <c r="D71" s="15">
        <v>44788</v>
      </c>
      <c r="E71" s="16" t="s">
        <v>180</v>
      </c>
      <c r="F71" s="17" t="s">
        <v>17</v>
      </c>
      <c r="G71" s="17">
        <v>0</v>
      </c>
      <c r="H71" s="17">
        <v>16</v>
      </c>
      <c r="I71" s="17">
        <v>4</v>
      </c>
      <c r="J71" s="17">
        <f t="shared" si="7"/>
        <v>12</v>
      </c>
      <c r="K71" s="18">
        <v>486</v>
      </c>
      <c r="L71" s="18">
        <f t="shared" si="4"/>
        <v>5832</v>
      </c>
      <c r="M71" s="18">
        <f t="shared" si="6"/>
        <v>1049.76</v>
      </c>
      <c r="N71" s="18">
        <f t="shared" si="5"/>
        <v>6881.76</v>
      </c>
    </row>
    <row r="72" spans="2:14" ht="37.5" x14ac:dyDescent="0.25">
      <c r="B72" s="1">
        <v>44788</v>
      </c>
      <c r="C72" s="2" t="s">
        <v>162</v>
      </c>
      <c r="D72" s="3">
        <v>44788</v>
      </c>
      <c r="E72" s="4" t="s">
        <v>181</v>
      </c>
      <c r="F72" s="5" t="s">
        <v>17</v>
      </c>
      <c r="G72" s="5">
        <v>0</v>
      </c>
      <c r="H72" s="5">
        <v>16</v>
      </c>
      <c r="I72" s="5">
        <v>0</v>
      </c>
      <c r="J72" s="5">
        <f t="shared" si="7"/>
        <v>16</v>
      </c>
      <c r="K72" s="6">
        <v>1235</v>
      </c>
      <c r="L72" s="6">
        <f t="shared" si="4"/>
        <v>19760</v>
      </c>
      <c r="M72" s="6">
        <f t="shared" si="6"/>
        <v>3556.7999999999997</v>
      </c>
      <c r="N72" s="6">
        <f t="shared" si="5"/>
        <v>23316.799999999999</v>
      </c>
    </row>
    <row r="73" spans="2:14" s="77" customFormat="1" ht="37.5" x14ac:dyDescent="0.25">
      <c r="B73" s="31">
        <v>44788</v>
      </c>
      <c r="C73" s="32" t="s">
        <v>55</v>
      </c>
      <c r="D73" s="33">
        <f>D69</f>
        <v>44788</v>
      </c>
      <c r="E73" s="34" t="s">
        <v>58</v>
      </c>
      <c r="F73" s="35" t="s">
        <v>29</v>
      </c>
      <c r="G73" s="35">
        <v>0</v>
      </c>
      <c r="H73" s="35">
        <v>3</v>
      </c>
      <c r="I73" s="35">
        <v>0</v>
      </c>
      <c r="J73" s="17">
        <v>3</v>
      </c>
      <c r="K73" s="36">
        <v>3023</v>
      </c>
      <c r="L73" s="36">
        <f t="shared" si="4"/>
        <v>9069</v>
      </c>
      <c r="M73" s="36">
        <f t="shared" si="6"/>
        <v>1632.4199999999998</v>
      </c>
      <c r="N73" s="36">
        <f t="shared" si="5"/>
        <v>10701.42</v>
      </c>
    </row>
    <row r="74" spans="2:14" s="77" customFormat="1" ht="37.5" x14ac:dyDescent="0.25">
      <c r="B74" s="13">
        <v>44788</v>
      </c>
      <c r="C74" s="14" t="s">
        <v>51</v>
      </c>
      <c r="D74" s="15">
        <v>44788</v>
      </c>
      <c r="E74" s="16" t="s">
        <v>52</v>
      </c>
      <c r="F74" s="17" t="s">
        <v>29</v>
      </c>
      <c r="G74" s="17">
        <v>69</v>
      </c>
      <c r="H74" s="17">
        <v>140</v>
      </c>
      <c r="I74" s="17">
        <v>126</v>
      </c>
      <c r="J74" s="17">
        <f t="shared" ref="J74:J83" si="8">H74-I74</f>
        <v>14</v>
      </c>
      <c r="K74" s="18">
        <v>14</v>
      </c>
      <c r="L74" s="18">
        <f t="shared" si="4"/>
        <v>196</v>
      </c>
      <c r="M74" s="18">
        <f t="shared" si="6"/>
        <v>35.28</v>
      </c>
      <c r="N74" s="18">
        <f t="shared" si="5"/>
        <v>231.28</v>
      </c>
    </row>
    <row r="75" spans="2:14" s="77" customFormat="1" ht="37.5" x14ac:dyDescent="0.25">
      <c r="B75" s="13">
        <v>44788</v>
      </c>
      <c r="C75" s="14" t="s">
        <v>42</v>
      </c>
      <c r="D75" s="15">
        <v>44788</v>
      </c>
      <c r="E75" s="16" t="s">
        <v>43</v>
      </c>
      <c r="F75" s="17" t="s">
        <v>17</v>
      </c>
      <c r="G75" s="17">
        <v>9</v>
      </c>
      <c r="H75" s="17">
        <v>124</v>
      </c>
      <c r="I75" s="17">
        <v>2</v>
      </c>
      <c r="J75" s="17">
        <f t="shared" si="8"/>
        <v>122</v>
      </c>
      <c r="K75" s="18">
        <v>35</v>
      </c>
      <c r="L75" s="18">
        <f t="shared" si="4"/>
        <v>4270</v>
      </c>
      <c r="M75" s="18">
        <f t="shared" si="6"/>
        <v>768.6</v>
      </c>
      <c r="N75" s="18">
        <f t="shared" si="5"/>
        <v>5038.6000000000004</v>
      </c>
    </row>
    <row r="76" spans="2:14" ht="37.5" x14ac:dyDescent="0.25">
      <c r="B76" s="1">
        <v>44788</v>
      </c>
      <c r="C76" s="2" t="s">
        <v>42</v>
      </c>
      <c r="D76" s="3">
        <v>44788</v>
      </c>
      <c r="E76" s="4" t="s">
        <v>44</v>
      </c>
      <c r="F76" s="5" t="s">
        <v>17</v>
      </c>
      <c r="G76" s="5">
        <v>0</v>
      </c>
      <c r="H76" s="5">
        <v>60</v>
      </c>
      <c r="I76" s="5">
        <v>20</v>
      </c>
      <c r="J76" s="5">
        <f t="shared" si="8"/>
        <v>40</v>
      </c>
      <c r="K76" s="6">
        <v>52</v>
      </c>
      <c r="L76" s="6">
        <f t="shared" si="4"/>
        <v>2080</v>
      </c>
      <c r="M76" s="6">
        <f t="shared" si="6"/>
        <v>374.4</v>
      </c>
      <c r="N76" s="6">
        <f t="shared" si="5"/>
        <v>2454.4</v>
      </c>
    </row>
    <row r="77" spans="2:14" s="77" customFormat="1" ht="25.5" customHeight="1" x14ac:dyDescent="0.25">
      <c r="B77" s="13">
        <v>44788</v>
      </c>
      <c r="C77" s="14" t="s">
        <v>138</v>
      </c>
      <c r="D77" s="15">
        <v>44788</v>
      </c>
      <c r="E77" s="16" t="s">
        <v>139</v>
      </c>
      <c r="F77" s="17" t="s">
        <v>17</v>
      </c>
      <c r="G77" s="17">
        <v>0</v>
      </c>
      <c r="H77" s="17">
        <v>144</v>
      </c>
      <c r="I77" s="17">
        <v>73</v>
      </c>
      <c r="J77" s="17">
        <f t="shared" si="8"/>
        <v>71</v>
      </c>
      <c r="K77" s="18">
        <v>8.5</v>
      </c>
      <c r="L77" s="18">
        <f t="shared" si="4"/>
        <v>603.5</v>
      </c>
      <c r="M77" s="18">
        <f t="shared" si="6"/>
        <v>108.63</v>
      </c>
      <c r="N77" s="18">
        <f t="shared" si="5"/>
        <v>712.13</v>
      </c>
    </row>
    <row r="78" spans="2:14" ht="37.5" x14ac:dyDescent="0.25">
      <c r="B78" s="31">
        <f>B77</f>
        <v>44788</v>
      </c>
      <c r="C78" s="32" t="s">
        <v>138</v>
      </c>
      <c r="D78" s="33">
        <f>D77</f>
        <v>44788</v>
      </c>
      <c r="E78" s="34" t="s">
        <v>140</v>
      </c>
      <c r="F78" s="35" t="str">
        <f>F77</f>
        <v>UNID.</v>
      </c>
      <c r="G78" s="35">
        <v>0</v>
      </c>
      <c r="H78" s="35">
        <v>36</v>
      </c>
      <c r="I78" s="35">
        <v>36</v>
      </c>
      <c r="J78" s="35">
        <f t="shared" si="8"/>
        <v>0</v>
      </c>
      <c r="K78" s="36">
        <v>26</v>
      </c>
      <c r="L78" s="12">
        <f t="shared" si="4"/>
        <v>0</v>
      </c>
      <c r="M78" s="12">
        <f t="shared" si="6"/>
        <v>0</v>
      </c>
      <c r="N78" s="36">
        <f t="shared" si="5"/>
        <v>0</v>
      </c>
    </row>
    <row r="79" spans="2:14" s="77" customFormat="1" ht="33.75" customHeight="1" x14ac:dyDescent="0.25">
      <c r="B79" s="31">
        <f>B77</f>
        <v>44788</v>
      </c>
      <c r="C79" s="32" t="s">
        <v>14</v>
      </c>
      <c r="D79" s="33">
        <f>D77</f>
        <v>44788</v>
      </c>
      <c r="E79" s="34" t="s">
        <v>141</v>
      </c>
      <c r="F79" s="35" t="s">
        <v>29</v>
      </c>
      <c r="G79" s="35">
        <v>4</v>
      </c>
      <c r="H79" s="35">
        <v>18</v>
      </c>
      <c r="I79" s="35">
        <v>0</v>
      </c>
      <c r="J79" s="35">
        <f t="shared" si="8"/>
        <v>18</v>
      </c>
      <c r="K79" s="36">
        <v>104</v>
      </c>
      <c r="L79" s="36">
        <f t="shared" ref="L79:L110" si="9">J79*K79</f>
        <v>1872</v>
      </c>
      <c r="M79" s="36">
        <f t="shared" si="6"/>
        <v>336.96</v>
      </c>
      <c r="N79" s="36">
        <f t="shared" ref="N79:N110" si="10">L79+M79</f>
        <v>2208.96</v>
      </c>
    </row>
    <row r="80" spans="2:14" ht="37.5" x14ac:dyDescent="0.25">
      <c r="B80" s="7">
        <f>B78</f>
        <v>44788</v>
      </c>
      <c r="C80" s="8" t="s">
        <v>138</v>
      </c>
      <c r="D80" s="9">
        <f>D78</f>
        <v>44788</v>
      </c>
      <c r="E80" s="10" t="s">
        <v>142</v>
      </c>
      <c r="F80" s="11" t="s">
        <v>29</v>
      </c>
      <c r="G80" s="11">
        <v>4</v>
      </c>
      <c r="H80" s="11">
        <v>4</v>
      </c>
      <c r="I80" s="11">
        <v>0</v>
      </c>
      <c r="J80" s="11">
        <f t="shared" si="8"/>
        <v>4</v>
      </c>
      <c r="K80" s="12">
        <v>105</v>
      </c>
      <c r="L80" s="12">
        <f t="shared" si="9"/>
        <v>420</v>
      </c>
      <c r="M80" s="12">
        <f t="shared" si="6"/>
        <v>75.599999999999994</v>
      </c>
      <c r="N80" s="12">
        <f t="shared" si="10"/>
        <v>495.6</v>
      </c>
    </row>
    <row r="81" spans="2:14" ht="27.75" customHeight="1" x14ac:dyDescent="0.25">
      <c r="B81" s="31">
        <f>B80</f>
        <v>44788</v>
      </c>
      <c r="C81" s="32" t="s">
        <v>138</v>
      </c>
      <c r="D81" s="33">
        <f>D80</f>
        <v>44788</v>
      </c>
      <c r="E81" s="34" t="s">
        <v>143</v>
      </c>
      <c r="F81" s="35" t="s">
        <v>17</v>
      </c>
      <c r="G81" s="35">
        <v>5</v>
      </c>
      <c r="H81" s="35">
        <v>7</v>
      </c>
      <c r="I81" s="35">
        <v>7</v>
      </c>
      <c r="J81" s="35">
        <f t="shared" si="8"/>
        <v>0</v>
      </c>
      <c r="K81" s="36">
        <v>25</v>
      </c>
      <c r="L81" s="12">
        <f t="shared" si="9"/>
        <v>0</v>
      </c>
      <c r="M81" s="12">
        <f t="shared" si="6"/>
        <v>0</v>
      </c>
      <c r="N81" s="36">
        <f t="shared" si="10"/>
        <v>0</v>
      </c>
    </row>
    <row r="82" spans="2:14" s="77" customFormat="1" ht="32.25" customHeight="1" x14ac:dyDescent="0.25">
      <c r="B82" s="13">
        <v>44788</v>
      </c>
      <c r="C82" s="14" t="s">
        <v>144</v>
      </c>
      <c r="D82" s="15">
        <v>44788</v>
      </c>
      <c r="E82" s="16" t="s">
        <v>145</v>
      </c>
      <c r="F82" s="17" t="s">
        <v>17</v>
      </c>
      <c r="G82" s="17">
        <v>0</v>
      </c>
      <c r="H82" s="17">
        <v>432</v>
      </c>
      <c r="I82" s="17">
        <f>140+7+1+40+1+75</f>
        <v>264</v>
      </c>
      <c r="J82" s="17">
        <f t="shared" si="8"/>
        <v>168</v>
      </c>
      <c r="K82" s="18">
        <v>7</v>
      </c>
      <c r="L82" s="18">
        <f t="shared" si="9"/>
        <v>1176</v>
      </c>
      <c r="M82" s="18">
        <f t="shared" si="6"/>
        <v>211.67999999999998</v>
      </c>
      <c r="N82" s="18">
        <f t="shared" si="10"/>
        <v>1387.68</v>
      </c>
    </row>
    <row r="83" spans="2:14" ht="24.75" customHeight="1" x14ac:dyDescent="0.25">
      <c r="B83" s="31">
        <v>44788</v>
      </c>
      <c r="C83" s="32" t="s">
        <v>144</v>
      </c>
      <c r="D83" s="33">
        <f>D82</f>
        <v>44788</v>
      </c>
      <c r="E83" s="34" t="s">
        <v>146</v>
      </c>
      <c r="F83" s="35" t="str">
        <f>F82</f>
        <v>UNID.</v>
      </c>
      <c r="G83" s="35">
        <v>28</v>
      </c>
      <c r="H83" s="35">
        <v>32</v>
      </c>
      <c r="I83" s="35">
        <v>26</v>
      </c>
      <c r="J83" s="35">
        <f t="shared" si="8"/>
        <v>6</v>
      </c>
      <c r="K83" s="36">
        <v>7</v>
      </c>
      <c r="L83" s="36">
        <f t="shared" si="9"/>
        <v>42</v>
      </c>
      <c r="M83" s="36">
        <f t="shared" si="6"/>
        <v>7.56</v>
      </c>
      <c r="N83" s="36">
        <f t="shared" si="10"/>
        <v>49.56</v>
      </c>
    </row>
    <row r="84" spans="2:14" s="77" customFormat="1" ht="37.5" x14ac:dyDescent="0.25">
      <c r="B84" s="13">
        <v>44788</v>
      </c>
      <c r="C84" s="14" t="s">
        <v>27</v>
      </c>
      <c r="D84" s="15">
        <v>44788</v>
      </c>
      <c r="E84" s="16" t="s">
        <v>28</v>
      </c>
      <c r="F84" s="17" t="s">
        <v>29</v>
      </c>
      <c r="G84" s="17">
        <v>0</v>
      </c>
      <c r="H84" s="17">
        <v>9</v>
      </c>
      <c r="I84" s="17">
        <v>3</v>
      </c>
      <c r="J84" s="17">
        <f>+H84-I84</f>
        <v>6</v>
      </c>
      <c r="K84" s="18">
        <v>1892.66</v>
      </c>
      <c r="L84" s="18">
        <f t="shared" si="9"/>
        <v>11355.960000000001</v>
      </c>
      <c r="M84" s="18">
        <f t="shared" si="6"/>
        <v>2044.0728000000001</v>
      </c>
      <c r="N84" s="18">
        <f t="shared" si="10"/>
        <v>13400.032800000001</v>
      </c>
    </row>
    <row r="85" spans="2:14" ht="32.25" customHeight="1" x14ac:dyDescent="0.25">
      <c r="B85" s="1">
        <v>44760</v>
      </c>
      <c r="C85" s="2" t="s">
        <v>290</v>
      </c>
      <c r="D85" s="3">
        <v>44760</v>
      </c>
      <c r="E85" s="4" t="s">
        <v>291</v>
      </c>
      <c r="F85" s="5" t="s">
        <v>17</v>
      </c>
      <c r="G85" s="5"/>
      <c r="H85" s="5">
        <v>22</v>
      </c>
      <c r="I85" s="5">
        <v>22</v>
      </c>
      <c r="J85" s="5">
        <f>H85-I85</f>
        <v>0</v>
      </c>
      <c r="K85" s="6">
        <v>522</v>
      </c>
      <c r="L85" s="6">
        <f t="shared" si="9"/>
        <v>0</v>
      </c>
      <c r="M85" s="6">
        <f t="shared" ref="M85:M116" si="11">L85*18%</f>
        <v>0</v>
      </c>
      <c r="N85" s="6">
        <f t="shared" si="10"/>
        <v>0</v>
      </c>
    </row>
    <row r="86" spans="2:14" ht="37.5" x14ac:dyDescent="0.25">
      <c r="B86" s="31">
        <v>44760</v>
      </c>
      <c r="C86" s="32" t="s">
        <v>297</v>
      </c>
      <c r="D86" s="3">
        <v>44760</v>
      </c>
      <c r="E86" s="34" t="s">
        <v>304</v>
      </c>
      <c r="F86" s="35" t="s">
        <v>17</v>
      </c>
      <c r="G86" s="35">
        <v>35</v>
      </c>
      <c r="H86" s="35">
        <v>50</v>
      </c>
      <c r="I86" s="35">
        <v>15</v>
      </c>
      <c r="J86" s="5">
        <f>H86-I86</f>
        <v>35</v>
      </c>
      <c r="K86" s="36">
        <v>55.09</v>
      </c>
      <c r="L86" s="36">
        <f t="shared" si="9"/>
        <v>1928.15</v>
      </c>
      <c r="M86" s="36">
        <f t="shared" si="11"/>
        <v>347.06700000000001</v>
      </c>
      <c r="N86" s="36">
        <f t="shared" si="10"/>
        <v>2275.2170000000001</v>
      </c>
    </row>
    <row r="87" spans="2:14" s="77" customFormat="1" ht="37.5" x14ac:dyDescent="0.25">
      <c r="B87" s="13">
        <v>44760</v>
      </c>
      <c r="C87" s="14" t="s">
        <v>25</v>
      </c>
      <c r="D87" s="15">
        <v>45923</v>
      </c>
      <c r="E87" s="16" t="s">
        <v>26</v>
      </c>
      <c r="F87" s="17" t="s">
        <v>17</v>
      </c>
      <c r="G87" s="17">
        <v>5</v>
      </c>
      <c r="H87" s="17">
        <f>20+10+18</f>
        <v>48</v>
      </c>
      <c r="I87" s="17">
        <f>24+1+1+4+1</f>
        <v>31</v>
      </c>
      <c r="J87" s="17">
        <f>+H87-I87</f>
        <v>17</v>
      </c>
      <c r="K87" s="18">
        <v>160</v>
      </c>
      <c r="L87" s="18">
        <f t="shared" si="9"/>
        <v>2720</v>
      </c>
      <c r="M87" s="18">
        <f t="shared" si="11"/>
        <v>489.59999999999997</v>
      </c>
      <c r="N87" s="18">
        <f t="shared" si="10"/>
        <v>3209.6</v>
      </c>
    </row>
    <row r="88" spans="2:14" ht="24" customHeight="1" x14ac:dyDescent="0.25">
      <c r="B88" s="31">
        <v>44760</v>
      </c>
      <c r="C88" s="32" t="s">
        <v>297</v>
      </c>
      <c r="D88" s="3">
        <v>44760</v>
      </c>
      <c r="E88" s="34" t="s">
        <v>305</v>
      </c>
      <c r="F88" s="35" t="s">
        <v>300</v>
      </c>
      <c r="G88" s="35">
        <v>1</v>
      </c>
      <c r="H88" s="35">
        <v>6</v>
      </c>
      <c r="I88" s="35">
        <v>6</v>
      </c>
      <c r="J88" s="5">
        <f>H88-I88</f>
        <v>0</v>
      </c>
      <c r="K88" s="36">
        <v>507</v>
      </c>
      <c r="L88" s="36">
        <f t="shared" si="9"/>
        <v>0</v>
      </c>
      <c r="M88" s="36">
        <f t="shared" si="11"/>
        <v>0</v>
      </c>
      <c r="N88" s="36">
        <f t="shared" si="10"/>
        <v>0</v>
      </c>
    </row>
    <row r="89" spans="2:14" s="77" customFormat="1" ht="27.75" customHeight="1" x14ac:dyDescent="0.25">
      <c r="B89" s="31">
        <f>B87</f>
        <v>44760</v>
      </c>
      <c r="C89" s="32" t="s">
        <v>297</v>
      </c>
      <c r="D89" s="15">
        <v>44760</v>
      </c>
      <c r="E89" s="34" t="s">
        <v>309</v>
      </c>
      <c r="F89" s="35" t="s">
        <v>300</v>
      </c>
      <c r="G89" s="35">
        <v>19</v>
      </c>
      <c r="H89" s="35">
        <v>20</v>
      </c>
      <c r="I89" s="35">
        <f>12+1+1+1+4</f>
        <v>19</v>
      </c>
      <c r="J89" s="17">
        <f>H89-I89+G89</f>
        <v>20</v>
      </c>
      <c r="K89" s="36">
        <v>97.46</v>
      </c>
      <c r="L89" s="36">
        <f t="shared" si="9"/>
        <v>1949.1999999999998</v>
      </c>
      <c r="M89" s="36">
        <f t="shared" si="11"/>
        <v>350.85599999999994</v>
      </c>
      <c r="N89" s="36">
        <f t="shared" si="10"/>
        <v>2300.0559999999996</v>
      </c>
    </row>
    <row r="90" spans="2:14" ht="34.5" customHeight="1" x14ac:dyDescent="0.25">
      <c r="B90" s="1">
        <v>44760</v>
      </c>
      <c r="C90" s="2" t="s">
        <v>292</v>
      </c>
      <c r="D90" s="3">
        <v>44760</v>
      </c>
      <c r="E90" s="4" t="s">
        <v>293</v>
      </c>
      <c r="F90" s="5" t="s">
        <v>294</v>
      </c>
      <c r="G90" s="5">
        <v>6</v>
      </c>
      <c r="H90" s="5">
        <f>15+20</f>
        <v>35</v>
      </c>
      <c r="I90" s="5">
        <f>17+1+1+1+15</f>
        <v>35</v>
      </c>
      <c r="J90" s="5">
        <f>H90-I90</f>
        <v>0</v>
      </c>
      <c r="K90" s="6">
        <v>139.83000000000001</v>
      </c>
      <c r="L90" s="6">
        <f t="shared" si="9"/>
        <v>0</v>
      </c>
      <c r="M90" s="6">
        <f t="shared" si="11"/>
        <v>0</v>
      </c>
      <c r="N90" s="6">
        <f t="shared" si="10"/>
        <v>0</v>
      </c>
    </row>
    <row r="91" spans="2:14" s="77" customFormat="1" ht="28.5" customHeight="1" x14ac:dyDescent="0.25">
      <c r="B91" s="13">
        <v>44743</v>
      </c>
      <c r="C91" s="14" t="s">
        <v>321</v>
      </c>
      <c r="D91" s="15">
        <v>44743</v>
      </c>
      <c r="E91" s="16" t="s">
        <v>323</v>
      </c>
      <c r="F91" s="17" t="s">
        <v>17</v>
      </c>
      <c r="G91" s="17">
        <v>0</v>
      </c>
      <c r="H91" s="17">
        <v>15</v>
      </c>
      <c r="I91" s="17">
        <v>4</v>
      </c>
      <c r="J91" s="17">
        <f>H91-I91</f>
        <v>11</v>
      </c>
      <c r="K91" s="18">
        <v>16</v>
      </c>
      <c r="L91" s="18">
        <f t="shared" si="9"/>
        <v>176</v>
      </c>
      <c r="M91" s="18">
        <f t="shared" si="11"/>
        <v>31.68</v>
      </c>
      <c r="N91" s="18">
        <f t="shared" si="10"/>
        <v>207.68</v>
      </c>
    </row>
    <row r="92" spans="2:14" s="77" customFormat="1" ht="24" customHeight="1" x14ac:dyDescent="0.25">
      <c r="B92" s="13">
        <v>44743</v>
      </c>
      <c r="C92" s="14" t="s">
        <v>321</v>
      </c>
      <c r="D92" s="15">
        <v>44743</v>
      </c>
      <c r="E92" s="16" t="s">
        <v>324</v>
      </c>
      <c r="F92" s="17" t="s">
        <v>17</v>
      </c>
      <c r="G92" s="17">
        <v>0</v>
      </c>
      <c r="H92" s="17">
        <v>81</v>
      </c>
      <c r="I92" s="17">
        <v>16</v>
      </c>
      <c r="J92" s="17">
        <f>H92-I92</f>
        <v>65</v>
      </c>
      <c r="K92" s="18">
        <v>20</v>
      </c>
      <c r="L92" s="18">
        <f t="shared" si="9"/>
        <v>1300</v>
      </c>
      <c r="M92" s="18">
        <f t="shared" si="11"/>
        <v>234</v>
      </c>
      <c r="N92" s="18">
        <f t="shared" si="10"/>
        <v>1534</v>
      </c>
    </row>
    <row r="93" spans="2:14" s="77" customFormat="1" ht="40.5" customHeight="1" x14ac:dyDescent="0.25">
      <c r="B93" s="13">
        <v>44743</v>
      </c>
      <c r="C93" s="14" t="s">
        <v>19</v>
      </c>
      <c r="D93" s="15">
        <v>44743</v>
      </c>
      <c r="E93" s="16" t="s">
        <v>20</v>
      </c>
      <c r="F93" s="17" t="s">
        <v>17</v>
      </c>
      <c r="G93" s="17">
        <v>208</v>
      </c>
      <c r="H93" s="17">
        <v>317</v>
      </c>
      <c r="I93" s="17">
        <f>257+1+46</f>
        <v>304</v>
      </c>
      <c r="J93" s="17">
        <f>+H93-I93</f>
        <v>13</v>
      </c>
      <c r="K93" s="18">
        <v>900</v>
      </c>
      <c r="L93" s="18">
        <f t="shared" si="9"/>
        <v>11700</v>
      </c>
      <c r="M93" s="18">
        <f t="shared" si="11"/>
        <v>2106</v>
      </c>
      <c r="N93" s="18">
        <f t="shared" si="10"/>
        <v>13806</v>
      </c>
    </row>
    <row r="94" spans="2:14" ht="25.5" customHeight="1" x14ac:dyDescent="0.25">
      <c r="B94" s="19">
        <v>44663</v>
      </c>
      <c r="C94" s="8" t="s">
        <v>318</v>
      </c>
      <c r="D94" s="21">
        <v>44663</v>
      </c>
      <c r="E94" s="10" t="s">
        <v>319</v>
      </c>
      <c r="F94" s="11" t="s">
        <v>17</v>
      </c>
      <c r="G94" s="11">
        <v>3</v>
      </c>
      <c r="H94" s="11">
        <v>7</v>
      </c>
      <c r="I94" s="11">
        <v>1</v>
      </c>
      <c r="J94" s="5">
        <f t="shared" ref="J94:J106" si="12">H94-I94</f>
        <v>6</v>
      </c>
      <c r="K94" s="12">
        <v>237.3</v>
      </c>
      <c r="L94" s="12">
        <f t="shared" si="9"/>
        <v>1423.8000000000002</v>
      </c>
      <c r="M94" s="12">
        <f t="shared" si="11"/>
        <v>256.28400000000005</v>
      </c>
      <c r="N94" s="12">
        <f t="shared" si="10"/>
        <v>1680.0840000000003</v>
      </c>
    </row>
    <row r="95" spans="2:14" ht="37.5" x14ac:dyDescent="0.3">
      <c r="B95" s="1">
        <v>44550</v>
      </c>
      <c r="C95" s="2" t="s">
        <v>262</v>
      </c>
      <c r="D95" s="15">
        <v>44550</v>
      </c>
      <c r="E95" s="54" t="s">
        <v>263</v>
      </c>
      <c r="F95" s="5" t="s">
        <v>17</v>
      </c>
      <c r="G95" s="5">
        <v>1</v>
      </c>
      <c r="H95" s="5">
        <v>1</v>
      </c>
      <c r="I95" s="5">
        <v>1</v>
      </c>
      <c r="J95" s="5">
        <f t="shared" si="12"/>
        <v>0</v>
      </c>
      <c r="K95" s="6">
        <v>1570</v>
      </c>
      <c r="L95" s="6">
        <f t="shared" si="9"/>
        <v>0</v>
      </c>
      <c r="M95" s="6">
        <f t="shared" si="11"/>
        <v>0</v>
      </c>
      <c r="N95" s="6">
        <f t="shared" si="10"/>
        <v>0</v>
      </c>
    </row>
    <row r="96" spans="2:14" ht="37.5" x14ac:dyDescent="0.3">
      <c r="B96" s="1">
        <v>44550</v>
      </c>
      <c r="C96" s="2" t="s">
        <v>264</v>
      </c>
      <c r="D96" s="15">
        <v>44550</v>
      </c>
      <c r="E96" s="54" t="s">
        <v>265</v>
      </c>
      <c r="F96" s="5" t="s">
        <v>17</v>
      </c>
      <c r="G96" s="5">
        <v>1</v>
      </c>
      <c r="H96" s="5">
        <v>1</v>
      </c>
      <c r="I96" s="5">
        <v>0</v>
      </c>
      <c r="J96" s="5">
        <f t="shared" si="12"/>
        <v>1</v>
      </c>
      <c r="K96" s="6">
        <v>1840</v>
      </c>
      <c r="L96" s="6">
        <f t="shared" si="9"/>
        <v>1840</v>
      </c>
      <c r="M96" s="6">
        <f t="shared" si="11"/>
        <v>331.2</v>
      </c>
      <c r="N96" s="6">
        <f t="shared" si="10"/>
        <v>2171.1999999999998</v>
      </c>
    </row>
    <row r="97" spans="2:14" ht="37.5" x14ac:dyDescent="0.3">
      <c r="B97" s="1">
        <v>44550</v>
      </c>
      <c r="C97" s="2" t="s">
        <v>262</v>
      </c>
      <c r="D97" s="15">
        <v>44550</v>
      </c>
      <c r="E97" s="53" t="s">
        <v>266</v>
      </c>
      <c r="F97" s="5" t="s">
        <v>17</v>
      </c>
      <c r="G97" s="5">
        <v>0</v>
      </c>
      <c r="H97" s="5">
        <v>0</v>
      </c>
      <c r="I97" s="5">
        <v>0</v>
      </c>
      <c r="J97" s="5">
        <f t="shared" si="12"/>
        <v>0</v>
      </c>
      <c r="K97" s="6">
        <v>1570</v>
      </c>
      <c r="L97" s="6">
        <f t="shared" si="9"/>
        <v>0</v>
      </c>
      <c r="M97" s="6">
        <f t="shared" si="11"/>
        <v>0</v>
      </c>
      <c r="N97" s="6">
        <f t="shared" si="10"/>
        <v>0</v>
      </c>
    </row>
    <row r="98" spans="2:14" ht="37.5" x14ac:dyDescent="0.3">
      <c r="B98" s="1">
        <v>44550</v>
      </c>
      <c r="C98" s="2" t="s">
        <v>264</v>
      </c>
      <c r="D98" s="15">
        <v>44550</v>
      </c>
      <c r="E98" s="54" t="s">
        <v>267</v>
      </c>
      <c r="F98" s="5" t="s">
        <v>17</v>
      </c>
      <c r="G98" s="5">
        <v>1</v>
      </c>
      <c r="H98" s="5">
        <v>1</v>
      </c>
      <c r="I98" s="5">
        <v>0</v>
      </c>
      <c r="J98" s="5">
        <f t="shared" si="12"/>
        <v>1</v>
      </c>
      <c r="K98" s="6">
        <v>1840</v>
      </c>
      <c r="L98" s="6">
        <f t="shared" si="9"/>
        <v>1840</v>
      </c>
      <c r="M98" s="6">
        <f t="shared" si="11"/>
        <v>331.2</v>
      </c>
      <c r="N98" s="6">
        <f t="shared" si="10"/>
        <v>2171.1999999999998</v>
      </c>
    </row>
    <row r="99" spans="2:14" ht="37.5" x14ac:dyDescent="0.3">
      <c r="B99" s="1">
        <v>44550</v>
      </c>
      <c r="C99" s="2" t="s">
        <v>262</v>
      </c>
      <c r="D99" s="15">
        <v>44550</v>
      </c>
      <c r="E99" s="54" t="s">
        <v>268</v>
      </c>
      <c r="F99" s="5" t="s">
        <v>17</v>
      </c>
      <c r="G99" s="5">
        <v>4</v>
      </c>
      <c r="H99" s="5">
        <v>8</v>
      </c>
      <c r="I99" s="5">
        <v>0</v>
      </c>
      <c r="J99" s="5">
        <f t="shared" si="12"/>
        <v>8</v>
      </c>
      <c r="K99" s="6">
        <v>1570</v>
      </c>
      <c r="L99" s="6">
        <f t="shared" si="9"/>
        <v>12560</v>
      </c>
      <c r="M99" s="6">
        <f t="shared" si="11"/>
        <v>2260.7999999999997</v>
      </c>
      <c r="N99" s="6">
        <f t="shared" si="10"/>
        <v>14820.8</v>
      </c>
    </row>
    <row r="100" spans="2:14" ht="37.5" x14ac:dyDescent="0.3">
      <c r="B100" s="1">
        <v>44550</v>
      </c>
      <c r="C100" s="2" t="s">
        <v>264</v>
      </c>
      <c r="D100" s="15">
        <v>44550</v>
      </c>
      <c r="E100" s="54" t="s">
        <v>269</v>
      </c>
      <c r="F100" s="5" t="s">
        <v>17</v>
      </c>
      <c r="G100" s="5">
        <v>5</v>
      </c>
      <c r="H100" s="5">
        <v>9</v>
      </c>
      <c r="I100" s="5">
        <v>0</v>
      </c>
      <c r="J100" s="5">
        <f t="shared" si="12"/>
        <v>9</v>
      </c>
      <c r="K100" s="6">
        <v>1840</v>
      </c>
      <c r="L100" s="6">
        <f t="shared" si="9"/>
        <v>16560</v>
      </c>
      <c r="M100" s="6">
        <f t="shared" si="11"/>
        <v>2980.7999999999997</v>
      </c>
      <c r="N100" s="6">
        <f t="shared" si="10"/>
        <v>19540.8</v>
      </c>
    </row>
    <row r="101" spans="2:14" ht="37.5" x14ac:dyDescent="0.3">
      <c r="B101" s="1">
        <v>44550</v>
      </c>
      <c r="C101" s="2" t="s">
        <v>262</v>
      </c>
      <c r="D101" s="15">
        <v>44550</v>
      </c>
      <c r="E101" s="54" t="s">
        <v>270</v>
      </c>
      <c r="F101" s="5" t="s">
        <v>17</v>
      </c>
      <c r="G101" s="5">
        <v>5</v>
      </c>
      <c r="H101" s="5">
        <v>7</v>
      </c>
      <c r="I101" s="5">
        <v>0</v>
      </c>
      <c r="J101" s="5">
        <f t="shared" si="12"/>
        <v>7</v>
      </c>
      <c r="K101" s="6">
        <v>1570</v>
      </c>
      <c r="L101" s="6">
        <f t="shared" si="9"/>
        <v>10990</v>
      </c>
      <c r="M101" s="6">
        <f t="shared" si="11"/>
        <v>1978.1999999999998</v>
      </c>
      <c r="N101" s="6">
        <f t="shared" si="10"/>
        <v>12968.2</v>
      </c>
    </row>
    <row r="102" spans="2:14" ht="37.5" x14ac:dyDescent="0.3">
      <c r="B102" s="1">
        <v>44550</v>
      </c>
      <c r="C102" s="2" t="s">
        <v>264</v>
      </c>
      <c r="D102" s="15">
        <v>44550</v>
      </c>
      <c r="E102" s="54" t="s">
        <v>271</v>
      </c>
      <c r="F102" s="5" t="s">
        <v>17</v>
      </c>
      <c r="G102" s="5">
        <v>4</v>
      </c>
      <c r="H102" s="5">
        <v>6</v>
      </c>
      <c r="I102" s="5">
        <v>0</v>
      </c>
      <c r="J102" s="5">
        <f t="shared" si="12"/>
        <v>6</v>
      </c>
      <c r="K102" s="6">
        <v>1840</v>
      </c>
      <c r="L102" s="6">
        <f t="shared" si="9"/>
        <v>11040</v>
      </c>
      <c r="M102" s="6">
        <f t="shared" si="11"/>
        <v>1987.1999999999998</v>
      </c>
      <c r="N102" s="6">
        <f t="shared" si="10"/>
        <v>13027.2</v>
      </c>
    </row>
    <row r="103" spans="2:14" ht="36" customHeight="1" x14ac:dyDescent="0.3">
      <c r="B103" s="1">
        <v>44550</v>
      </c>
      <c r="C103" s="2" t="s">
        <v>262</v>
      </c>
      <c r="D103" s="15">
        <v>44550</v>
      </c>
      <c r="E103" s="53" t="s">
        <v>272</v>
      </c>
      <c r="F103" s="5" t="s">
        <v>17</v>
      </c>
      <c r="G103" s="5">
        <v>0</v>
      </c>
      <c r="H103" s="5">
        <v>1</v>
      </c>
      <c r="I103" s="5">
        <v>1</v>
      </c>
      <c r="J103" s="5">
        <f t="shared" si="12"/>
        <v>0</v>
      </c>
      <c r="K103" s="6">
        <v>1570</v>
      </c>
      <c r="L103" s="6">
        <f t="shared" si="9"/>
        <v>0</v>
      </c>
      <c r="M103" s="6">
        <f t="shared" si="11"/>
        <v>0</v>
      </c>
      <c r="N103" s="6">
        <f t="shared" si="10"/>
        <v>0</v>
      </c>
    </row>
    <row r="104" spans="2:14" ht="37.5" x14ac:dyDescent="0.3">
      <c r="B104" s="1">
        <v>44550</v>
      </c>
      <c r="C104" s="2" t="s">
        <v>264</v>
      </c>
      <c r="D104" s="15">
        <v>44550</v>
      </c>
      <c r="E104" s="53" t="s">
        <v>273</v>
      </c>
      <c r="F104" s="5" t="s">
        <v>17</v>
      </c>
      <c r="G104" s="5">
        <v>0</v>
      </c>
      <c r="H104" s="5">
        <v>1</v>
      </c>
      <c r="I104" s="5">
        <v>1</v>
      </c>
      <c r="J104" s="5">
        <f t="shared" si="12"/>
        <v>0</v>
      </c>
      <c r="K104" s="6">
        <v>1840</v>
      </c>
      <c r="L104" s="6">
        <f t="shared" si="9"/>
        <v>0</v>
      </c>
      <c r="M104" s="6">
        <f t="shared" si="11"/>
        <v>0</v>
      </c>
      <c r="N104" s="6">
        <f t="shared" si="10"/>
        <v>0</v>
      </c>
    </row>
    <row r="105" spans="2:14" ht="37.5" x14ac:dyDescent="0.3">
      <c r="B105" s="1">
        <v>44550</v>
      </c>
      <c r="C105" s="2" t="s">
        <v>262</v>
      </c>
      <c r="D105" s="15">
        <v>44550</v>
      </c>
      <c r="E105" s="53" t="s">
        <v>274</v>
      </c>
      <c r="F105" s="5" t="s">
        <v>17</v>
      </c>
      <c r="G105" s="5">
        <v>1</v>
      </c>
      <c r="H105" s="5">
        <v>1</v>
      </c>
      <c r="I105" s="5">
        <v>1</v>
      </c>
      <c r="J105" s="5">
        <f t="shared" si="12"/>
        <v>0</v>
      </c>
      <c r="K105" s="6">
        <v>1570</v>
      </c>
      <c r="L105" s="6">
        <f t="shared" si="9"/>
        <v>0</v>
      </c>
      <c r="M105" s="6">
        <f t="shared" si="11"/>
        <v>0</v>
      </c>
      <c r="N105" s="6">
        <f t="shared" si="10"/>
        <v>0</v>
      </c>
    </row>
    <row r="106" spans="2:14" ht="37.5" x14ac:dyDescent="0.3">
      <c r="B106" s="1">
        <v>44550</v>
      </c>
      <c r="C106" s="2" t="s">
        <v>264</v>
      </c>
      <c r="D106" s="15">
        <v>44550</v>
      </c>
      <c r="E106" s="53" t="s">
        <v>275</v>
      </c>
      <c r="F106" s="5" t="s">
        <v>17</v>
      </c>
      <c r="G106" s="5">
        <v>0</v>
      </c>
      <c r="H106" s="5">
        <v>1</v>
      </c>
      <c r="I106" s="5">
        <v>1</v>
      </c>
      <c r="J106" s="5">
        <f t="shared" si="12"/>
        <v>0</v>
      </c>
      <c r="K106" s="6">
        <v>1840</v>
      </c>
      <c r="L106" s="6">
        <f t="shared" si="9"/>
        <v>0</v>
      </c>
      <c r="M106" s="6">
        <f t="shared" si="11"/>
        <v>0</v>
      </c>
      <c r="N106" s="6">
        <f t="shared" si="10"/>
        <v>0</v>
      </c>
    </row>
    <row r="107" spans="2:14" ht="39.75" customHeight="1" x14ac:dyDescent="0.3">
      <c r="B107" s="1">
        <v>44550</v>
      </c>
      <c r="C107" s="2" t="s">
        <v>193</v>
      </c>
      <c r="D107" s="37">
        <v>45750</v>
      </c>
      <c r="E107" s="46" t="s">
        <v>194</v>
      </c>
      <c r="F107" s="5" t="s">
        <v>17</v>
      </c>
      <c r="G107" s="5">
        <v>2</v>
      </c>
      <c r="H107" s="11">
        <v>14</v>
      </c>
      <c r="I107" s="11">
        <v>13</v>
      </c>
      <c r="J107" s="5">
        <f>H107-I107+G107</f>
        <v>3</v>
      </c>
      <c r="K107" s="12">
        <v>5194.0200000000004</v>
      </c>
      <c r="L107" s="6">
        <f t="shared" si="9"/>
        <v>15582.060000000001</v>
      </c>
      <c r="M107" s="6">
        <f t="shared" si="11"/>
        <v>2804.7708000000002</v>
      </c>
      <c r="N107" s="6">
        <f t="shared" si="10"/>
        <v>18386.830800000003</v>
      </c>
    </row>
    <row r="108" spans="2:14" ht="36" customHeight="1" x14ac:dyDescent="0.3">
      <c r="B108" s="1">
        <v>44550</v>
      </c>
      <c r="C108" s="2" t="s">
        <v>195</v>
      </c>
      <c r="D108" s="37">
        <v>45750</v>
      </c>
      <c r="E108" s="46" t="s">
        <v>196</v>
      </c>
      <c r="F108" s="5" t="s">
        <v>17</v>
      </c>
      <c r="G108" s="5">
        <v>2</v>
      </c>
      <c r="H108" s="11">
        <v>14</v>
      </c>
      <c r="I108" s="11">
        <v>12</v>
      </c>
      <c r="J108" s="5">
        <f>H108-I108+G108</f>
        <v>4</v>
      </c>
      <c r="K108" s="12">
        <v>5194.0200000000004</v>
      </c>
      <c r="L108" s="6">
        <f t="shared" si="9"/>
        <v>20776.080000000002</v>
      </c>
      <c r="M108" s="6">
        <f t="shared" si="11"/>
        <v>3739.6944000000003</v>
      </c>
      <c r="N108" s="6">
        <f t="shared" si="10"/>
        <v>24515.774400000002</v>
      </c>
    </row>
    <row r="109" spans="2:14" ht="37.5" x14ac:dyDescent="0.25">
      <c r="B109" s="31">
        <v>44550</v>
      </c>
      <c r="C109" s="32" t="s">
        <v>154</v>
      </c>
      <c r="D109" s="33">
        <v>44550</v>
      </c>
      <c r="E109" s="34" t="s">
        <v>155</v>
      </c>
      <c r="F109" s="35" t="s">
        <v>17</v>
      </c>
      <c r="G109" s="35">
        <v>3</v>
      </c>
      <c r="H109" s="35">
        <v>3</v>
      </c>
      <c r="I109" s="35">
        <v>1</v>
      </c>
      <c r="J109" s="35">
        <f>H109-I109</f>
        <v>2</v>
      </c>
      <c r="K109" s="35">
        <v>2692.49</v>
      </c>
      <c r="L109" s="6">
        <f t="shared" si="9"/>
        <v>5384.98</v>
      </c>
      <c r="M109" s="6">
        <f t="shared" si="11"/>
        <v>969.29639999999984</v>
      </c>
      <c r="N109" s="6">
        <f t="shared" si="10"/>
        <v>6354.2763999999997</v>
      </c>
    </row>
    <row r="110" spans="2:14" ht="37.5" x14ac:dyDescent="0.25">
      <c r="B110" s="7">
        <v>44550</v>
      </c>
      <c r="C110" s="8" t="s">
        <v>154</v>
      </c>
      <c r="D110" s="9">
        <v>44550</v>
      </c>
      <c r="E110" s="10" t="s">
        <v>156</v>
      </c>
      <c r="F110" s="11" t="s">
        <v>17</v>
      </c>
      <c r="G110" s="11">
        <v>14</v>
      </c>
      <c r="H110" s="11">
        <v>15</v>
      </c>
      <c r="I110" s="11">
        <v>14</v>
      </c>
      <c r="J110" s="11">
        <f>H110-I110</f>
        <v>1</v>
      </c>
      <c r="K110" s="11">
        <v>210.17</v>
      </c>
      <c r="L110" s="6">
        <f t="shared" si="9"/>
        <v>210.17</v>
      </c>
      <c r="M110" s="6">
        <f t="shared" si="11"/>
        <v>37.830599999999997</v>
      </c>
      <c r="N110" s="6">
        <f t="shared" si="10"/>
        <v>248.00059999999999</v>
      </c>
    </row>
    <row r="111" spans="2:14" ht="52.5" customHeight="1" x14ac:dyDescent="0.25">
      <c r="B111" s="7">
        <v>44550</v>
      </c>
      <c r="C111" s="2" t="s">
        <v>162</v>
      </c>
      <c r="D111" s="9">
        <v>44550</v>
      </c>
      <c r="E111" s="10" t="s">
        <v>163</v>
      </c>
      <c r="F111" s="11" t="s">
        <v>17</v>
      </c>
      <c r="G111" s="11">
        <v>3</v>
      </c>
      <c r="H111" s="11">
        <v>16</v>
      </c>
      <c r="I111" s="11">
        <v>2</v>
      </c>
      <c r="J111" s="11">
        <f>H111-I111</f>
        <v>14</v>
      </c>
      <c r="K111" s="11">
        <v>986</v>
      </c>
      <c r="L111" s="6">
        <f t="shared" ref="L111:L116" si="13">J111*K111</f>
        <v>13804</v>
      </c>
      <c r="M111" s="6">
        <f t="shared" si="11"/>
        <v>2484.7199999999998</v>
      </c>
      <c r="N111" s="6">
        <f t="shared" ref="N111:N142" si="14">L111+M111</f>
        <v>16288.72</v>
      </c>
    </row>
    <row r="112" spans="2:14" ht="38.25" customHeight="1" x14ac:dyDescent="0.25">
      <c r="B112" s="31">
        <v>44550</v>
      </c>
      <c r="C112" s="2" t="s">
        <v>162</v>
      </c>
      <c r="D112" s="33">
        <v>44550</v>
      </c>
      <c r="E112" s="34" t="s">
        <v>164</v>
      </c>
      <c r="F112" s="35" t="s">
        <v>17</v>
      </c>
      <c r="G112" s="35">
        <v>0</v>
      </c>
      <c r="H112" s="35">
        <v>1</v>
      </c>
      <c r="I112" s="35">
        <v>1</v>
      </c>
      <c r="J112" s="35">
        <f>H112-I112</f>
        <v>0</v>
      </c>
      <c r="K112" s="35">
        <v>5222.6000000000004</v>
      </c>
      <c r="L112" s="6">
        <f t="shared" si="13"/>
        <v>0</v>
      </c>
      <c r="M112" s="6">
        <f t="shared" si="11"/>
        <v>0</v>
      </c>
      <c r="N112" s="6">
        <f t="shared" si="14"/>
        <v>0</v>
      </c>
    </row>
    <row r="113" spans="2:14" ht="24.75" customHeight="1" x14ac:dyDescent="0.25">
      <c r="B113" s="25">
        <f>B112</f>
        <v>44550</v>
      </c>
      <c r="C113" s="26" t="s">
        <v>103</v>
      </c>
      <c r="D113" s="27">
        <f>D112</f>
        <v>44550</v>
      </c>
      <c r="E113" s="28" t="s">
        <v>165</v>
      </c>
      <c r="F113" s="29" t="str">
        <f>F112</f>
        <v>UNID.</v>
      </c>
      <c r="G113" s="29">
        <v>1</v>
      </c>
      <c r="H113" s="29">
        <v>1</v>
      </c>
      <c r="I113" s="29">
        <v>1</v>
      </c>
      <c r="J113" s="29">
        <f>H113-I113</f>
        <v>0</v>
      </c>
      <c r="K113" s="30">
        <v>1500</v>
      </c>
      <c r="L113" s="30">
        <f t="shared" si="13"/>
        <v>0</v>
      </c>
      <c r="M113" s="30">
        <f t="shared" si="11"/>
        <v>0</v>
      </c>
      <c r="N113" s="30">
        <f t="shared" si="14"/>
        <v>0</v>
      </c>
    </row>
    <row r="114" spans="2:14" ht="32.25" customHeight="1" x14ac:dyDescent="0.25">
      <c r="B114" s="31">
        <f>B113</f>
        <v>44550</v>
      </c>
      <c r="C114" s="32" t="s">
        <v>138</v>
      </c>
      <c r="D114" s="33">
        <f>D113</f>
        <v>44550</v>
      </c>
      <c r="E114" s="34" t="s">
        <v>166</v>
      </c>
      <c r="F114" s="35" t="s">
        <v>17</v>
      </c>
      <c r="G114" s="35">
        <v>0</v>
      </c>
      <c r="H114" s="35">
        <v>3</v>
      </c>
      <c r="I114" s="35">
        <v>3</v>
      </c>
      <c r="J114" s="35">
        <v>0</v>
      </c>
      <c r="K114" s="36">
        <v>150</v>
      </c>
      <c r="L114" s="12">
        <f t="shared" si="13"/>
        <v>0</v>
      </c>
      <c r="M114" s="12">
        <f t="shared" si="11"/>
        <v>0</v>
      </c>
      <c r="N114" s="36">
        <f t="shared" si="14"/>
        <v>0</v>
      </c>
    </row>
    <row r="115" spans="2:14" ht="36.75" customHeight="1" x14ac:dyDescent="0.25">
      <c r="B115" s="31">
        <v>44550</v>
      </c>
      <c r="C115" s="2" t="s">
        <v>162</v>
      </c>
      <c r="D115" s="33">
        <v>44550</v>
      </c>
      <c r="E115" s="34" t="s">
        <v>167</v>
      </c>
      <c r="F115" s="35" t="s">
        <v>17</v>
      </c>
      <c r="G115" s="35">
        <v>4</v>
      </c>
      <c r="H115" s="35">
        <v>5</v>
      </c>
      <c r="I115" s="35">
        <v>5</v>
      </c>
      <c r="J115" s="35">
        <f t="shared" ref="J115:J135" si="15">H115-I115</f>
        <v>0</v>
      </c>
      <c r="K115" s="35">
        <v>711.2</v>
      </c>
      <c r="L115" s="6">
        <f t="shared" si="13"/>
        <v>0</v>
      </c>
      <c r="M115" s="6">
        <f t="shared" si="11"/>
        <v>0</v>
      </c>
      <c r="N115" s="6">
        <f t="shared" si="14"/>
        <v>0</v>
      </c>
    </row>
    <row r="116" spans="2:14" ht="37.5" x14ac:dyDescent="0.25">
      <c r="B116" s="31">
        <v>44550</v>
      </c>
      <c r="C116" s="2" t="s">
        <v>162</v>
      </c>
      <c r="D116" s="33">
        <v>44550</v>
      </c>
      <c r="E116" s="34" t="s">
        <v>168</v>
      </c>
      <c r="F116" s="35" t="s">
        <v>17</v>
      </c>
      <c r="G116" s="35">
        <v>1</v>
      </c>
      <c r="H116" s="35">
        <v>1</v>
      </c>
      <c r="I116" s="35">
        <v>1</v>
      </c>
      <c r="J116" s="35">
        <f t="shared" si="15"/>
        <v>0</v>
      </c>
      <c r="K116" s="35">
        <v>602.64</v>
      </c>
      <c r="L116" s="6">
        <f t="shared" si="13"/>
        <v>0</v>
      </c>
      <c r="M116" s="6">
        <f t="shared" si="11"/>
        <v>0</v>
      </c>
      <c r="N116" s="6">
        <f t="shared" si="14"/>
        <v>0</v>
      </c>
    </row>
    <row r="117" spans="2:14" ht="39.75" customHeight="1" x14ac:dyDescent="0.3">
      <c r="B117" s="1">
        <v>44550</v>
      </c>
      <c r="C117" s="2" t="s">
        <v>201</v>
      </c>
      <c r="D117" s="37">
        <v>44550</v>
      </c>
      <c r="E117" s="47" t="s">
        <v>202</v>
      </c>
      <c r="F117" s="17" t="s">
        <v>17</v>
      </c>
      <c r="G117" s="17">
        <v>0</v>
      </c>
      <c r="H117" s="35">
        <v>0</v>
      </c>
      <c r="I117" s="35">
        <v>0</v>
      </c>
      <c r="J117" s="5">
        <f t="shared" si="15"/>
        <v>0</v>
      </c>
      <c r="K117" s="36">
        <v>1962.92</v>
      </c>
      <c r="L117" s="18">
        <f>K117*J117</f>
        <v>0</v>
      </c>
      <c r="M117" s="18">
        <f t="shared" ref="M117:M148" si="16">L117*18%</f>
        <v>0</v>
      </c>
      <c r="N117" s="18">
        <f t="shared" si="14"/>
        <v>0</v>
      </c>
    </row>
    <row r="118" spans="2:14" ht="44.25" customHeight="1" x14ac:dyDescent="0.3">
      <c r="B118" s="1">
        <v>44550</v>
      </c>
      <c r="C118" s="2" t="s">
        <v>201</v>
      </c>
      <c r="D118" s="37">
        <v>44550</v>
      </c>
      <c r="E118" s="47" t="s">
        <v>203</v>
      </c>
      <c r="F118" s="5" t="s">
        <v>17</v>
      </c>
      <c r="G118" s="5">
        <v>0</v>
      </c>
      <c r="H118" s="11">
        <v>0</v>
      </c>
      <c r="I118" s="11">
        <v>0</v>
      </c>
      <c r="J118" s="5">
        <f t="shared" si="15"/>
        <v>0</v>
      </c>
      <c r="K118" s="12">
        <v>1904.04</v>
      </c>
      <c r="L118" s="6">
        <f t="shared" ref="L118:L161" si="17">J118*K118</f>
        <v>0</v>
      </c>
      <c r="M118" s="6">
        <f t="shared" si="16"/>
        <v>0</v>
      </c>
      <c r="N118" s="6">
        <f t="shared" si="14"/>
        <v>0</v>
      </c>
    </row>
    <row r="119" spans="2:14" ht="37.5" x14ac:dyDescent="0.3">
      <c r="B119" s="1">
        <v>44550</v>
      </c>
      <c r="C119" s="2" t="s">
        <v>204</v>
      </c>
      <c r="D119" s="37">
        <v>44550</v>
      </c>
      <c r="E119" s="47" t="s">
        <v>205</v>
      </c>
      <c r="F119" s="5" t="s">
        <v>17</v>
      </c>
      <c r="G119" s="5">
        <v>0</v>
      </c>
      <c r="H119" s="11">
        <v>0</v>
      </c>
      <c r="I119" s="11">
        <v>0</v>
      </c>
      <c r="J119" s="5">
        <f t="shared" si="15"/>
        <v>0</v>
      </c>
      <c r="K119" s="12">
        <v>1962.92</v>
      </c>
      <c r="L119" s="6">
        <f t="shared" si="17"/>
        <v>0</v>
      </c>
      <c r="M119" s="6">
        <f t="shared" si="16"/>
        <v>0</v>
      </c>
      <c r="N119" s="6">
        <f t="shared" si="14"/>
        <v>0</v>
      </c>
    </row>
    <row r="120" spans="2:14" ht="41.25" customHeight="1" x14ac:dyDescent="0.3">
      <c r="B120" s="1">
        <v>44550</v>
      </c>
      <c r="C120" s="2" t="s">
        <v>206</v>
      </c>
      <c r="D120" s="37">
        <v>44550</v>
      </c>
      <c r="E120" s="47" t="s">
        <v>207</v>
      </c>
      <c r="F120" s="5" t="s">
        <v>17</v>
      </c>
      <c r="G120" s="5">
        <v>0</v>
      </c>
      <c r="H120" s="11">
        <v>0</v>
      </c>
      <c r="I120" s="11">
        <v>0</v>
      </c>
      <c r="J120" s="5">
        <f t="shared" si="15"/>
        <v>0</v>
      </c>
      <c r="K120" s="12">
        <v>3825.02</v>
      </c>
      <c r="L120" s="6">
        <f t="shared" si="17"/>
        <v>0</v>
      </c>
      <c r="M120" s="6">
        <f t="shared" si="16"/>
        <v>0</v>
      </c>
      <c r="N120" s="6">
        <f t="shared" si="14"/>
        <v>0</v>
      </c>
    </row>
    <row r="121" spans="2:14" ht="37.5" x14ac:dyDescent="0.3">
      <c r="B121" s="1">
        <v>44550</v>
      </c>
      <c r="C121" s="2" t="s">
        <v>199</v>
      </c>
      <c r="D121" s="37">
        <v>44550</v>
      </c>
      <c r="E121" s="48" t="s">
        <v>208</v>
      </c>
      <c r="F121" s="5" t="s">
        <v>17</v>
      </c>
      <c r="G121" s="5">
        <v>2</v>
      </c>
      <c r="H121" s="11">
        <v>5</v>
      </c>
      <c r="I121" s="11">
        <v>1</v>
      </c>
      <c r="J121" s="11">
        <f t="shared" si="15"/>
        <v>4</v>
      </c>
      <c r="K121" s="12">
        <v>5766.95</v>
      </c>
      <c r="L121" s="6">
        <f t="shared" si="17"/>
        <v>23067.8</v>
      </c>
      <c r="M121" s="6">
        <f t="shared" si="16"/>
        <v>4152.2039999999997</v>
      </c>
      <c r="N121" s="6">
        <f t="shared" si="14"/>
        <v>27220.004000000001</v>
      </c>
    </row>
    <row r="122" spans="2:14" ht="37.5" x14ac:dyDescent="0.3">
      <c r="B122" s="1">
        <v>44550</v>
      </c>
      <c r="C122" s="2" t="s">
        <v>199</v>
      </c>
      <c r="D122" s="37">
        <v>44550</v>
      </c>
      <c r="E122" s="46" t="s">
        <v>209</v>
      </c>
      <c r="F122" s="5" t="s">
        <v>17</v>
      </c>
      <c r="G122" s="5">
        <v>1</v>
      </c>
      <c r="H122" s="11">
        <v>4</v>
      </c>
      <c r="I122" s="11">
        <v>2</v>
      </c>
      <c r="J122" s="11">
        <f t="shared" si="15"/>
        <v>2</v>
      </c>
      <c r="K122" s="12">
        <v>4943.1000000000004</v>
      </c>
      <c r="L122" s="6">
        <f t="shared" si="17"/>
        <v>9886.2000000000007</v>
      </c>
      <c r="M122" s="6">
        <f t="shared" si="16"/>
        <v>1779.5160000000001</v>
      </c>
      <c r="N122" s="6">
        <f t="shared" si="14"/>
        <v>11665.716</v>
      </c>
    </row>
    <row r="123" spans="2:14" ht="37.5" x14ac:dyDescent="0.3">
      <c r="B123" s="1">
        <v>44550</v>
      </c>
      <c r="C123" s="2" t="s">
        <v>199</v>
      </c>
      <c r="D123" s="37">
        <v>44550</v>
      </c>
      <c r="E123" s="46" t="s">
        <v>210</v>
      </c>
      <c r="F123" s="5" t="s">
        <v>17</v>
      </c>
      <c r="G123" s="5">
        <v>3</v>
      </c>
      <c r="H123" s="11">
        <v>6</v>
      </c>
      <c r="I123" s="11">
        <v>3</v>
      </c>
      <c r="J123" s="11">
        <f t="shared" si="15"/>
        <v>3</v>
      </c>
      <c r="K123" s="12">
        <v>4943.1000000000004</v>
      </c>
      <c r="L123" s="6">
        <f t="shared" si="17"/>
        <v>14829.300000000001</v>
      </c>
      <c r="M123" s="6">
        <f t="shared" si="16"/>
        <v>2669.2739999999999</v>
      </c>
      <c r="N123" s="6">
        <f t="shared" si="14"/>
        <v>17498.574000000001</v>
      </c>
    </row>
    <row r="124" spans="2:14" ht="33" customHeight="1" x14ac:dyDescent="0.25">
      <c r="B124" s="1">
        <v>44550</v>
      </c>
      <c r="C124" s="2" t="s">
        <v>199</v>
      </c>
      <c r="D124" s="37">
        <v>44550</v>
      </c>
      <c r="E124" s="49" t="s">
        <v>211</v>
      </c>
      <c r="F124" s="5" t="s">
        <v>17</v>
      </c>
      <c r="G124" s="5">
        <v>1</v>
      </c>
      <c r="H124" s="11">
        <v>4</v>
      </c>
      <c r="I124" s="11">
        <v>1</v>
      </c>
      <c r="J124" s="11">
        <f t="shared" si="15"/>
        <v>3</v>
      </c>
      <c r="K124" s="12">
        <v>3886.1</v>
      </c>
      <c r="L124" s="6">
        <f t="shared" si="17"/>
        <v>11658.3</v>
      </c>
      <c r="M124" s="6">
        <f t="shared" si="16"/>
        <v>2098.4939999999997</v>
      </c>
      <c r="N124" s="6">
        <f t="shared" si="14"/>
        <v>13756.793999999998</v>
      </c>
    </row>
    <row r="125" spans="2:14" ht="35.25" customHeight="1" x14ac:dyDescent="0.3">
      <c r="B125" s="1">
        <v>44550</v>
      </c>
      <c r="C125" s="32" t="s">
        <v>212</v>
      </c>
      <c r="D125" s="37">
        <v>44550</v>
      </c>
      <c r="E125" s="50" t="s">
        <v>213</v>
      </c>
      <c r="F125" s="35" t="str">
        <f>F124</f>
        <v>UNID.</v>
      </c>
      <c r="G125" s="35">
        <v>0</v>
      </c>
      <c r="H125" s="35">
        <v>2</v>
      </c>
      <c r="I125" s="35">
        <v>2</v>
      </c>
      <c r="J125" s="35">
        <f t="shared" si="15"/>
        <v>0</v>
      </c>
      <c r="K125" s="36">
        <v>3300.39</v>
      </c>
      <c r="L125" s="6">
        <f t="shared" si="17"/>
        <v>0</v>
      </c>
      <c r="M125" s="6">
        <f t="shared" si="16"/>
        <v>0</v>
      </c>
      <c r="N125" s="6">
        <f t="shared" si="14"/>
        <v>0</v>
      </c>
    </row>
    <row r="126" spans="2:14" ht="33.75" customHeight="1" x14ac:dyDescent="0.3">
      <c r="B126" s="1">
        <v>44550</v>
      </c>
      <c r="C126" s="8" t="s">
        <v>212</v>
      </c>
      <c r="D126" s="37">
        <v>44550</v>
      </c>
      <c r="E126" s="51" t="s">
        <v>214</v>
      </c>
      <c r="F126" s="11" t="str">
        <f>F125</f>
        <v>UNID.</v>
      </c>
      <c r="G126" s="11">
        <v>0</v>
      </c>
      <c r="H126" s="11">
        <v>2</v>
      </c>
      <c r="I126" s="11">
        <v>2</v>
      </c>
      <c r="J126" s="11">
        <f t="shared" si="15"/>
        <v>0</v>
      </c>
      <c r="K126" s="12">
        <v>2503.62</v>
      </c>
      <c r="L126" s="6">
        <f t="shared" si="17"/>
        <v>0</v>
      </c>
      <c r="M126" s="6">
        <f t="shared" si="16"/>
        <v>0</v>
      </c>
      <c r="N126" s="6">
        <f t="shared" si="14"/>
        <v>0</v>
      </c>
    </row>
    <row r="127" spans="2:14" ht="37.5" x14ac:dyDescent="0.3">
      <c r="B127" s="1">
        <v>44550</v>
      </c>
      <c r="C127" s="8" t="s">
        <v>215</v>
      </c>
      <c r="D127" s="37">
        <v>44550</v>
      </c>
      <c r="E127" s="51" t="s">
        <v>216</v>
      </c>
      <c r="F127" s="11" t="s">
        <v>17</v>
      </c>
      <c r="G127" s="11">
        <v>0</v>
      </c>
      <c r="H127" s="11">
        <v>2</v>
      </c>
      <c r="I127" s="11">
        <v>2</v>
      </c>
      <c r="J127" s="11">
        <f t="shared" si="15"/>
        <v>0</v>
      </c>
      <c r="K127" s="12">
        <v>2503.62</v>
      </c>
      <c r="L127" s="6">
        <f t="shared" si="17"/>
        <v>0</v>
      </c>
      <c r="M127" s="6">
        <f t="shared" si="16"/>
        <v>0</v>
      </c>
      <c r="N127" s="6">
        <f t="shared" si="14"/>
        <v>0</v>
      </c>
    </row>
    <row r="128" spans="2:14" ht="37.5" x14ac:dyDescent="0.3">
      <c r="B128" s="1">
        <v>44550</v>
      </c>
      <c r="C128" s="32" t="s">
        <v>212</v>
      </c>
      <c r="D128" s="37">
        <v>44550</v>
      </c>
      <c r="E128" s="50" t="s">
        <v>217</v>
      </c>
      <c r="F128" s="35" t="str">
        <f>F126</f>
        <v>UNID.</v>
      </c>
      <c r="G128" s="35">
        <v>0</v>
      </c>
      <c r="H128" s="35">
        <v>2</v>
      </c>
      <c r="I128" s="35">
        <v>2</v>
      </c>
      <c r="J128" s="35">
        <f t="shared" si="15"/>
        <v>0</v>
      </c>
      <c r="K128" s="36">
        <v>2503.62</v>
      </c>
      <c r="L128" s="6">
        <f t="shared" si="17"/>
        <v>0</v>
      </c>
      <c r="M128" s="6">
        <f t="shared" si="16"/>
        <v>0</v>
      </c>
      <c r="N128" s="6">
        <f t="shared" si="14"/>
        <v>0</v>
      </c>
    </row>
    <row r="129" spans="2:14" ht="37.5" x14ac:dyDescent="0.3">
      <c r="B129" s="1">
        <v>44550</v>
      </c>
      <c r="C129" s="32" t="s">
        <v>212</v>
      </c>
      <c r="D129" s="37">
        <v>44550</v>
      </c>
      <c r="E129" s="50" t="s">
        <v>218</v>
      </c>
      <c r="F129" s="35" t="str">
        <f>F128</f>
        <v>UNID.</v>
      </c>
      <c r="G129" s="35">
        <v>4</v>
      </c>
      <c r="H129" s="35">
        <v>6</v>
      </c>
      <c r="I129" s="35">
        <v>3</v>
      </c>
      <c r="J129" s="35">
        <f t="shared" si="15"/>
        <v>3</v>
      </c>
      <c r="K129" s="36">
        <v>3449.03</v>
      </c>
      <c r="L129" s="6">
        <f t="shared" si="17"/>
        <v>10347.09</v>
      </c>
      <c r="M129" s="6">
        <f t="shared" si="16"/>
        <v>1862.4762000000001</v>
      </c>
      <c r="N129" s="6">
        <f t="shared" si="14"/>
        <v>12209.566200000001</v>
      </c>
    </row>
    <row r="130" spans="2:14" ht="37.5" x14ac:dyDescent="0.3">
      <c r="B130" s="1">
        <v>44550</v>
      </c>
      <c r="C130" s="32" t="s">
        <v>212</v>
      </c>
      <c r="D130" s="37">
        <v>44550</v>
      </c>
      <c r="E130" s="50" t="s">
        <v>219</v>
      </c>
      <c r="F130" s="35" t="str">
        <f>F129</f>
        <v>UNID.</v>
      </c>
      <c r="G130" s="35">
        <v>2</v>
      </c>
      <c r="H130" s="35">
        <v>4</v>
      </c>
      <c r="I130" s="35">
        <v>1</v>
      </c>
      <c r="J130" s="35">
        <f t="shared" si="15"/>
        <v>3</v>
      </c>
      <c r="K130" s="36">
        <v>3431.9</v>
      </c>
      <c r="L130" s="6">
        <f t="shared" si="17"/>
        <v>10295.700000000001</v>
      </c>
      <c r="M130" s="6">
        <f t="shared" si="16"/>
        <v>1853.2260000000001</v>
      </c>
      <c r="N130" s="6">
        <f t="shared" si="14"/>
        <v>12148.926000000001</v>
      </c>
    </row>
    <row r="131" spans="2:14" ht="37.5" x14ac:dyDescent="0.3">
      <c r="B131" s="1">
        <v>44550</v>
      </c>
      <c r="C131" s="32" t="s">
        <v>212</v>
      </c>
      <c r="D131" s="37">
        <v>44550</v>
      </c>
      <c r="E131" s="50" t="s">
        <v>220</v>
      </c>
      <c r="F131" s="35" t="s">
        <v>17</v>
      </c>
      <c r="G131" s="35">
        <v>3</v>
      </c>
      <c r="H131" s="35">
        <v>5</v>
      </c>
      <c r="I131" s="35">
        <v>2</v>
      </c>
      <c r="J131" s="35">
        <f t="shared" si="15"/>
        <v>3</v>
      </c>
      <c r="K131" s="36">
        <v>3326.98</v>
      </c>
      <c r="L131" s="6">
        <f t="shared" si="17"/>
        <v>9980.94</v>
      </c>
      <c r="M131" s="6">
        <f t="shared" si="16"/>
        <v>1796.5692000000001</v>
      </c>
      <c r="N131" s="6">
        <f t="shared" si="14"/>
        <v>11777.5092</v>
      </c>
    </row>
    <row r="132" spans="2:14" ht="37.5" x14ac:dyDescent="0.3">
      <c r="B132" s="1">
        <v>44550</v>
      </c>
      <c r="C132" s="32" t="s">
        <v>212</v>
      </c>
      <c r="D132" s="37">
        <v>44550</v>
      </c>
      <c r="E132" s="50" t="s">
        <v>221</v>
      </c>
      <c r="F132" s="35" t="str">
        <f>F130</f>
        <v>UNID.</v>
      </c>
      <c r="G132" s="35">
        <v>5</v>
      </c>
      <c r="H132" s="35">
        <v>6</v>
      </c>
      <c r="I132" s="35">
        <v>3</v>
      </c>
      <c r="J132" s="35">
        <f t="shared" si="15"/>
        <v>3</v>
      </c>
      <c r="K132" s="36">
        <v>3431.9</v>
      </c>
      <c r="L132" s="6">
        <f t="shared" si="17"/>
        <v>10295.700000000001</v>
      </c>
      <c r="M132" s="6">
        <f t="shared" si="16"/>
        <v>1853.2260000000001</v>
      </c>
      <c r="N132" s="6">
        <f t="shared" si="14"/>
        <v>12148.926000000001</v>
      </c>
    </row>
    <row r="133" spans="2:14" ht="37.5" x14ac:dyDescent="0.3">
      <c r="B133" s="1">
        <v>44550</v>
      </c>
      <c r="C133" s="8" t="s">
        <v>212</v>
      </c>
      <c r="D133" s="37">
        <v>44550</v>
      </c>
      <c r="E133" s="51" t="s">
        <v>227</v>
      </c>
      <c r="F133" s="11" t="s">
        <v>17</v>
      </c>
      <c r="G133" s="11">
        <v>0</v>
      </c>
      <c r="H133" s="11">
        <v>6</v>
      </c>
      <c r="I133" s="11">
        <v>6</v>
      </c>
      <c r="J133" s="11">
        <f t="shared" si="15"/>
        <v>0</v>
      </c>
      <c r="K133" s="12">
        <v>4349.84</v>
      </c>
      <c r="L133" s="6">
        <f t="shared" si="17"/>
        <v>0</v>
      </c>
      <c r="M133" s="6">
        <f t="shared" si="16"/>
        <v>0</v>
      </c>
      <c r="N133" s="6">
        <f t="shared" si="14"/>
        <v>0</v>
      </c>
    </row>
    <row r="134" spans="2:14" ht="37.5" x14ac:dyDescent="0.3">
      <c r="B134" s="1">
        <v>44550</v>
      </c>
      <c r="C134" s="32" t="s">
        <v>212</v>
      </c>
      <c r="D134" s="37">
        <v>44550</v>
      </c>
      <c r="E134" s="52" t="s">
        <v>228</v>
      </c>
      <c r="F134" s="17" t="s">
        <v>17</v>
      </c>
      <c r="G134" s="17">
        <v>0</v>
      </c>
      <c r="H134" s="35">
        <v>6</v>
      </c>
      <c r="I134" s="35">
        <v>4</v>
      </c>
      <c r="J134" s="35">
        <f t="shared" si="15"/>
        <v>2</v>
      </c>
      <c r="K134" s="36">
        <v>4284.17</v>
      </c>
      <c r="L134" s="6">
        <f t="shared" si="17"/>
        <v>8568.34</v>
      </c>
      <c r="M134" s="6">
        <f t="shared" si="16"/>
        <v>1542.3011999999999</v>
      </c>
      <c r="N134" s="6">
        <f t="shared" si="14"/>
        <v>10110.6412</v>
      </c>
    </row>
    <row r="135" spans="2:14" ht="37.5" x14ac:dyDescent="0.3">
      <c r="B135" s="1">
        <v>44550</v>
      </c>
      <c r="C135" s="8" t="s">
        <v>212</v>
      </c>
      <c r="D135" s="37">
        <v>44550</v>
      </c>
      <c r="E135" s="51" t="s">
        <v>229</v>
      </c>
      <c r="F135" s="11" t="s">
        <v>17</v>
      </c>
      <c r="G135" s="11">
        <v>0</v>
      </c>
      <c r="H135" s="11">
        <v>6</v>
      </c>
      <c r="I135" s="11">
        <v>6</v>
      </c>
      <c r="J135" s="11">
        <f t="shared" si="15"/>
        <v>0</v>
      </c>
      <c r="K135" s="12">
        <v>4349.84</v>
      </c>
      <c r="L135" s="6">
        <f t="shared" si="17"/>
        <v>0</v>
      </c>
      <c r="M135" s="6">
        <f t="shared" si="16"/>
        <v>0</v>
      </c>
      <c r="N135" s="6">
        <f t="shared" si="14"/>
        <v>0</v>
      </c>
    </row>
    <row r="136" spans="2:14" ht="37.5" x14ac:dyDescent="0.3">
      <c r="B136" s="1">
        <v>44550</v>
      </c>
      <c r="C136" s="32" t="s">
        <v>212</v>
      </c>
      <c r="D136" s="37">
        <v>44550</v>
      </c>
      <c r="E136" s="50" t="s">
        <v>230</v>
      </c>
      <c r="F136" s="35" t="s">
        <v>231</v>
      </c>
      <c r="G136" s="35">
        <v>0</v>
      </c>
      <c r="H136" s="35">
        <v>6</v>
      </c>
      <c r="I136" s="35">
        <v>6</v>
      </c>
      <c r="J136" s="35">
        <f>+H136-I136</f>
        <v>0</v>
      </c>
      <c r="K136" s="36">
        <v>4733.1400000000003</v>
      </c>
      <c r="L136" s="6">
        <f t="shared" si="17"/>
        <v>0</v>
      </c>
      <c r="M136" s="6">
        <f t="shared" si="16"/>
        <v>0</v>
      </c>
      <c r="N136" s="6">
        <f t="shared" si="14"/>
        <v>0</v>
      </c>
    </row>
    <row r="137" spans="2:14" s="77" customFormat="1" ht="27.75" customHeight="1" x14ac:dyDescent="0.25">
      <c r="B137" s="25">
        <v>44517</v>
      </c>
      <c r="C137" s="14" t="s">
        <v>329</v>
      </c>
      <c r="D137" s="27">
        <v>45777</v>
      </c>
      <c r="E137" s="16" t="s">
        <v>330</v>
      </c>
      <c r="F137" s="17" t="s">
        <v>17</v>
      </c>
      <c r="G137" s="17">
        <v>12</v>
      </c>
      <c r="H137" s="17">
        <f>27+15</f>
        <v>42</v>
      </c>
      <c r="I137" s="17">
        <f>21+1+1+1+1+8</f>
        <v>33</v>
      </c>
      <c r="J137" s="17">
        <f t="shared" ref="J137:J142" si="18">H137-I137</f>
        <v>9</v>
      </c>
      <c r="K137" s="18">
        <v>515</v>
      </c>
      <c r="L137" s="18">
        <f t="shared" si="17"/>
        <v>4635</v>
      </c>
      <c r="M137" s="18">
        <f t="shared" si="16"/>
        <v>834.3</v>
      </c>
      <c r="N137" s="18">
        <f t="shared" si="14"/>
        <v>5469.3</v>
      </c>
    </row>
    <row r="138" spans="2:14" ht="37.5" x14ac:dyDescent="0.25">
      <c r="B138" s="31">
        <v>44475</v>
      </c>
      <c r="C138" s="32" t="s">
        <v>306</v>
      </c>
      <c r="D138" s="33">
        <v>44475</v>
      </c>
      <c r="E138" s="34" t="s">
        <v>307</v>
      </c>
      <c r="F138" s="35" t="s">
        <v>308</v>
      </c>
      <c r="G138" s="35">
        <v>2</v>
      </c>
      <c r="H138" s="35">
        <v>2</v>
      </c>
      <c r="I138" s="35">
        <v>1</v>
      </c>
      <c r="J138" s="17">
        <f t="shared" si="18"/>
        <v>1</v>
      </c>
      <c r="K138" s="36">
        <v>1120</v>
      </c>
      <c r="L138" s="36">
        <f t="shared" si="17"/>
        <v>1120</v>
      </c>
      <c r="M138" s="36">
        <f t="shared" si="16"/>
        <v>201.6</v>
      </c>
      <c r="N138" s="36">
        <f t="shared" si="14"/>
        <v>1321.6</v>
      </c>
    </row>
    <row r="139" spans="2:14" ht="27" customHeight="1" x14ac:dyDescent="0.25">
      <c r="B139" s="7">
        <v>44475</v>
      </c>
      <c r="C139" s="8" t="s">
        <v>301</v>
      </c>
      <c r="D139" s="9">
        <v>44475</v>
      </c>
      <c r="E139" s="10" t="s">
        <v>302</v>
      </c>
      <c r="F139" s="11" t="s">
        <v>303</v>
      </c>
      <c r="G139" s="11">
        <v>0</v>
      </c>
      <c r="H139" s="11">
        <v>30</v>
      </c>
      <c r="I139" s="11">
        <f>11+1+18</f>
        <v>30</v>
      </c>
      <c r="J139" s="5">
        <f t="shared" si="18"/>
        <v>0</v>
      </c>
      <c r="K139" s="12">
        <v>495</v>
      </c>
      <c r="L139" s="12">
        <f t="shared" si="17"/>
        <v>0</v>
      </c>
      <c r="M139" s="12">
        <f t="shared" si="16"/>
        <v>0</v>
      </c>
      <c r="N139" s="12">
        <f t="shared" si="14"/>
        <v>0</v>
      </c>
    </row>
    <row r="140" spans="2:14" ht="56.25" x14ac:dyDescent="0.25">
      <c r="B140" s="1">
        <v>44185</v>
      </c>
      <c r="C140" s="2" t="s">
        <v>162</v>
      </c>
      <c r="D140" s="3">
        <v>44185</v>
      </c>
      <c r="E140" s="4" t="s">
        <v>184</v>
      </c>
      <c r="F140" s="5" t="s">
        <v>17</v>
      </c>
      <c r="G140" s="5">
        <v>3</v>
      </c>
      <c r="H140" s="5">
        <v>3</v>
      </c>
      <c r="I140" s="5">
        <v>1</v>
      </c>
      <c r="J140" s="5">
        <f t="shared" si="18"/>
        <v>2</v>
      </c>
      <c r="K140" s="6">
        <v>3760.59</v>
      </c>
      <c r="L140" s="6">
        <f t="shared" si="17"/>
        <v>7521.18</v>
      </c>
      <c r="M140" s="6">
        <f t="shared" si="16"/>
        <v>1353.8124</v>
      </c>
      <c r="N140" s="6">
        <f t="shared" si="14"/>
        <v>8874.992400000001</v>
      </c>
    </row>
    <row r="141" spans="2:14" s="77" customFormat="1" ht="37.5" x14ac:dyDescent="0.25">
      <c r="B141" s="13">
        <v>44007</v>
      </c>
      <c r="C141" s="14" t="s">
        <v>55</v>
      </c>
      <c r="D141" s="15">
        <v>44007</v>
      </c>
      <c r="E141" s="16" t="s">
        <v>56</v>
      </c>
      <c r="F141" s="17" t="s">
        <v>29</v>
      </c>
      <c r="G141" s="17">
        <v>10</v>
      </c>
      <c r="H141" s="17">
        <v>75</v>
      </c>
      <c r="I141" s="17">
        <f>12+1</f>
        <v>13</v>
      </c>
      <c r="J141" s="17">
        <f t="shared" si="18"/>
        <v>62</v>
      </c>
      <c r="K141" s="18">
        <v>104</v>
      </c>
      <c r="L141" s="18">
        <f t="shared" si="17"/>
        <v>6448</v>
      </c>
      <c r="M141" s="18">
        <f t="shared" si="16"/>
        <v>1160.6399999999999</v>
      </c>
      <c r="N141" s="18">
        <f t="shared" si="14"/>
        <v>7608.6399999999994</v>
      </c>
    </row>
    <row r="142" spans="2:14" ht="37.5" x14ac:dyDescent="0.25">
      <c r="B142" s="1">
        <v>44007</v>
      </c>
      <c r="C142" s="2" t="s">
        <v>62</v>
      </c>
      <c r="D142" s="3">
        <v>44007</v>
      </c>
      <c r="E142" s="4" t="s">
        <v>63</v>
      </c>
      <c r="F142" s="5" t="s">
        <v>29</v>
      </c>
      <c r="G142" s="5">
        <v>0</v>
      </c>
      <c r="H142" s="5">
        <v>63</v>
      </c>
      <c r="I142" s="5">
        <v>58</v>
      </c>
      <c r="J142" s="5">
        <f t="shared" si="18"/>
        <v>5</v>
      </c>
      <c r="K142" s="6">
        <v>77</v>
      </c>
      <c r="L142" s="6">
        <f t="shared" si="17"/>
        <v>385</v>
      </c>
      <c r="M142" s="6">
        <f t="shared" si="16"/>
        <v>69.3</v>
      </c>
      <c r="N142" s="6">
        <f t="shared" si="14"/>
        <v>454.3</v>
      </c>
    </row>
    <row r="143" spans="2:14" ht="37.5" x14ac:dyDescent="0.25">
      <c r="B143" s="1">
        <v>44007</v>
      </c>
      <c r="C143" s="2" t="s">
        <v>64</v>
      </c>
      <c r="D143" s="3">
        <v>44007</v>
      </c>
      <c r="E143" s="4" t="s">
        <v>65</v>
      </c>
      <c r="F143" s="5" t="s">
        <v>29</v>
      </c>
      <c r="G143" s="5">
        <v>0</v>
      </c>
      <c r="H143" s="5">
        <v>62</v>
      </c>
      <c r="I143" s="5">
        <v>65</v>
      </c>
      <c r="J143" s="5">
        <f>I143-H143</f>
        <v>3</v>
      </c>
      <c r="K143" s="6">
        <v>21.42</v>
      </c>
      <c r="L143" s="6">
        <f t="shared" si="17"/>
        <v>64.260000000000005</v>
      </c>
      <c r="M143" s="6">
        <f t="shared" si="16"/>
        <v>11.566800000000001</v>
      </c>
      <c r="N143" s="6">
        <f t="shared" ref="N143:N165" si="19">L143+M143</f>
        <v>75.826800000000006</v>
      </c>
    </row>
    <row r="144" spans="2:14" ht="37.5" x14ac:dyDescent="0.25">
      <c r="B144" s="1">
        <v>44007</v>
      </c>
      <c r="C144" s="2" t="s">
        <v>66</v>
      </c>
      <c r="D144" s="3">
        <v>44007</v>
      </c>
      <c r="E144" s="4" t="s">
        <v>67</v>
      </c>
      <c r="F144" s="5" t="s">
        <v>29</v>
      </c>
      <c r="G144" s="5">
        <v>0</v>
      </c>
      <c r="H144" s="5">
        <v>65</v>
      </c>
      <c r="I144" s="5">
        <v>60</v>
      </c>
      <c r="J144" s="5">
        <f>H144-I144</f>
        <v>5</v>
      </c>
      <c r="K144" s="6">
        <v>61</v>
      </c>
      <c r="L144" s="6">
        <f t="shared" si="17"/>
        <v>305</v>
      </c>
      <c r="M144" s="6">
        <f t="shared" si="16"/>
        <v>54.9</v>
      </c>
      <c r="N144" s="6">
        <f t="shared" si="19"/>
        <v>359.9</v>
      </c>
    </row>
    <row r="145" spans="2:14" s="77" customFormat="1" ht="37.5" x14ac:dyDescent="0.25">
      <c r="B145" s="13">
        <v>44007</v>
      </c>
      <c r="C145" s="14" t="s">
        <v>69</v>
      </c>
      <c r="D145" s="15">
        <v>44007</v>
      </c>
      <c r="E145" s="16" t="s">
        <v>70</v>
      </c>
      <c r="F145" s="17" t="s">
        <v>71</v>
      </c>
      <c r="G145" s="17">
        <v>20</v>
      </c>
      <c r="H145" s="17">
        <v>29</v>
      </c>
      <c r="I145" s="17">
        <v>0</v>
      </c>
      <c r="J145" s="17">
        <f>H145-I145</f>
        <v>29</v>
      </c>
      <c r="K145" s="18">
        <v>60</v>
      </c>
      <c r="L145" s="18">
        <f t="shared" si="17"/>
        <v>1740</v>
      </c>
      <c r="M145" s="18">
        <f t="shared" si="16"/>
        <v>313.2</v>
      </c>
      <c r="N145" s="18">
        <f t="shared" si="19"/>
        <v>2053.1999999999998</v>
      </c>
    </row>
    <row r="146" spans="2:14" s="97" customFormat="1" ht="37.5" x14ac:dyDescent="0.25">
      <c r="B146" s="31">
        <v>44007</v>
      </c>
      <c r="C146" s="32" t="s">
        <v>72</v>
      </c>
      <c r="D146" s="33">
        <v>44007</v>
      </c>
      <c r="E146" s="34" t="s">
        <v>73</v>
      </c>
      <c r="F146" s="35" t="s">
        <v>29</v>
      </c>
      <c r="G146" s="35">
        <v>57</v>
      </c>
      <c r="H146" s="35">
        <v>59</v>
      </c>
      <c r="I146" s="35">
        <v>30</v>
      </c>
      <c r="J146" s="35">
        <f>H146-I146</f>
        <v>29</v>
      </c>
      <c r="K146" s="36">
        <v>16.61</v>
      </c>
      <c r="L146" s="36">
        <f t="shared" si="17"/>
        <v>481.69</v>
      </c>
      <c r="M146" s="36">
        <f t="shared" si="16"/>
        <v>86.7042</v>
      </c>
      <c r="N146" s="36">
        <f t="shared" si="19"/>
        <v>568.39419999999996</v>
      </c>
    </row>
    <row r="147" spans="2:14" ht="37.5" x14ac:dyDescent="0.25">
      <c r="B147" s="19">
        <v>44007</v>
      </c>
      <c r="C147" s="20" t="s">
        <v>90</v>
      </c>
      <c r="D147" s="21">
        <v>44007</v>
      </c>
      <c r="E147" s="22" t="s">
        <v>91</v>
      </c>
      <c r="F147" s="23" t="s">
        <v>71</v>
      </c>
      <c r="G147" s="23">
        <v>6</v>
      </c>
      <c r="H147" s="23">
        <v>7</v>
      </c>
      <c r="I147" s="23">
        <v>7</v>
      </c>
      <c r="J147" s="23">
        <f>H147-I147</f>
        <v>0</v>
      </c>
      <c r="K147" s="24">
        <v>158.47</v>
      </c>
      <c r="L147" s="24">
        <f t="shared" si="17"/>
        <v>0</v>
      </c>
      <c r="M147" s="24">
        <f t="shared" si="16"/>
        <v>0</v>
      </c>
      <c r="N147" s="24">
        <f t="shared" si="19"/>
        <v>0</v>
      </c>
    </row>
    <row r="148" spans="2:14" ht="37.5" x14ac:dyDescent="0.25">
      <c r="B148" s="1">
        <v>44007</v>
      </c>
      <c r="C148" s="2" t="s">
        <v>103</v>
      </c>
      <c r="D148" s="3">
        <v>44007</v>
      </c>
      <c r="E148" s="4" t="s">
        <v>104</v>
      </c>
      <c r="F148" s="5" t="s">
        <v>29</v>
      </c>
      <c r="G148" s="5">
        <v>2</v>
      </c>
      <c r="H148" s="5">
        <v>2</v>
      </c>
      <c r="I148" s="5">
        <v>0</v>
      </c>
      <c r="J148" s="5">
        <v>1</v>
      </c>
      <c r="K148" s="6">
        <v>99.59</v>
      </c>
      <c r="L148" s="6">
        <f t="shared" si="17"/>
        <v>99.59</v>
      </c>
      <c r="M148" s="6">
        <f t="shared" si="16"/>
        <v>17.926200000000001</v>
      </c>
      <c r="N148" s="6">
        <f t="shared" si="19"/>
        <v>117.5162</v>
      </c>
    </row>
    <row r="149" spans="2:14" ht="29.25" customHeight="1" x14ac:dyDescent="0.25">
      <c r="B149" s="7">
        <v>44007</v>
      </c>
      <c r="C149" s="8" t="s">
        <v>103</v>
      </c>
      <c r="D149" s="9">
        <f>D147</f>
        <v>44007</v>
      </c>
      <c r="E149" s="10" t="s">
        <v>105</v>
      </c>
      <c r="F149" s="11" t="s">
        <v>17</v>
      </c>
      <c r="G149" s="11">
        <v>6</v>
      </c>
      <c r="H149" s="11">
        <v>8</v>
      </c>
      <c r="I149" s="11">
        <v>8</v>
      </c>
      <c r="J149" s="11">
        <f>H149-I149</f>
        <v>0</v>
      </c>
      <c r="K149" s="12">
        <v>45</v>
      </c>
      <c r="L149" s="12">
        <f t="shared" si="17"/>
        <v>0</v>
      </c>
      <c r="M149" s="12">
        <f t="shared" ref="M149:M165" si="20">L149*18%</f>
        <v>0</v>
      </c>
      <c r="N149" s="12">
        <f t="shared" si="19"/>
        <v>0</v>
      </c>
    </row>
    <row r="150" spans="2:14" ht="29.25" customHeight="1" x14ac:dyDescent="0.25">
      <c r="B150" s="25">
        <f>B148</f>
        <v>44007</v>
      </c>
      <c r="C150" s="26" t="s">
        <v>103</v>
      </c>
      <c r="D150" s="27">
        <f>D148</f>
        <v>44007</v>
      </c>
      <c r="E150" s="28" t="s">
        <v>106</v>
      </c>
      <c r="F150" s="29" t="str">
        <f>F147</f>
        <v>PQT.</v>
      </c>
      <c r="G150" s="29">
        <v>13</v>
      </c>
      <c r="H150" s="29">
        <v>17</v>
      </c>
      <c r="I150" s="29">
        <v>7</v>
      </c>
      <c r="J150" s="29">
        <f>H150-I150</f>
        <v>10</v>
      </c>
      <c r="K150" s="30">
        <v>65</v>
      </c>
      <c r="L150" s="30">
        <f t="shared" si="17"/>
        <v>650</v>
      </c>
      <c r="M150" s="30">
        <f t="shared" si="20"/>
        <v>117</v>
      </c>
      <c r="N150" s="30">
        <f t="shared" si="19"/>
        <v>767</v>
      </c>
    </row>
    <row r="151" spans="2:14" ht="37.5" x14ac:dyDescent="0.25">
      <c r="B151" s="7">
        <f>B150</f>
        <v>44007</v>
      </c>
      <c r="C151" s="8" t="s">
        <v>103</v>
      </c>
      <c r="D151" s="9">
        <f>D150</f>
        <v>44007</v>
      </c>
      <c r="E151" s="10" t="s">
        <v>107</v>
      </c>
      <c r="F151" s="11" t="str">
        <f>F150</f>
        <v>PQT.</v>
      </c>
      <c r="G151" s="11">
        <v>57</v>
      </c>
      <c r="H151" s="11">
        <v>67</v>
      </c>
      <c r="I151" s="11">
        <v>34</v>
      </c>
      <c r="J151" s="11">
        <f>H151-I151</f>
        <v>33</v>
      </c>
      <c r="K151" s="12">
        <v>29</v>
      </c>
      <c r="L151" s="12">
        <f t="shared" si="17"/>
        <v>957</v>
      </c>
      <c r="M151" s="12">
        <f t="shared" si="20"/>
        <v>172.26</v>
      </c>
      <c r="N151" s="12">
        <f t="shared" si="19"/>
        <v>1129.26</v>
      </c>
    </row>
    <row r="152" spans="2:14" s="77" customFormat="1" ht="27.75" customHeight="1" x14ac:dyDescent="0.25">
      <c r="B152" s="25">
        <f>B150</f>
        <v>44007</v>
      </c>
      <c r="C152" s="26" t="s">
        <v>103</v>
      </c>
      <c r="D152" s="27">
        <f>D150</f>
        <v>44007</v>
      </c>
      <c r="E152" s="28" t="s">
        <v>110</v>
      </c>
      <c r="F152" s="29" t="str">
        <f>F150</f>
        <v>PQT.</v>
      </c>
      <c r="G152" s="29">
        <v>6</v>
      </c>
      <c r="H152" s="29">
        <v>7</v>
      </c>
      <c r="I152" s="29">
        <v>8</v>
      </c>
      <c r="J152" s="29">
        <v>4</v>
      </c>
      <c r="K152" s="30">
        <v>125</v>
      </c>
      <c r="L152" s="30">
        <f t="shared" si="17"/>
        <v>500</v>
      </c>
      <c r="M152" s="30">
        <f t="shared" si="20"/>
        <v>90</v>
      </c>
      <c r="N152" s="30">
        <f t="shared" si="19"/>
        <v>590</v>
      </c>
    </row>
    <row r="153" spans="2:14" ht="27.75" customHeight="1" x14ac:dyDescent="0.25">
      <c r="B153" s="19">
        <f>B151</f>
        <v>44007</v>
      </c>
      <c r="C153" s="20" t="s">
        <v>103</v>
      </c>
      <c r="D153" s="21">
        <f>D151</f>
        <v>44007</v>
      </c>
      <c r="E153" s="22" t="s">
        <v>112</v>
      </c>
      <c r="F153" s="23" t="s">
        <v>17</v>
      </c>
      <c r="G153" s="23">
        <v>337</v>
      </c>
      <c r="H153" s="23">
        <f>350+400</f>
        <v>750</v>
      </c>
      <c r="I153" s="23">
        <v>10</v>
      </c>
      <c r="J153" s="23">
        <f t="shared" ref="J153:J161" si="21">H153-I153</f>
        <v>740</v>
      </c>
      <c r="K153" s="24">
        <v>10</v>
      </c>
      <c r="L153" s="24">
        <f t="shared" si="17"/>
        <v>7400</v>
      </c>
      <c r="M153" s="24">
        <f t="shared" si="20"/>
        <v>1332</v>
      </c>
      <c r="N153" s="24">
        <f t="shared" si="19"/>
        <v>8732</v>
      </c>
    </row>
    <row r="154" spans="2:14" ht="37.5" x14ac:dyDescent="0.25">
      <c r="B154" s="13">
        <f>B146</f>
        <v>44007</v>
      </c>
      <c r="C154" s="14" t="s">
        <v>103</v>
      </c>
      <c r="D154" s="15">
        <v>44007</v>
      </c>
      <c r="E154" s="16" t="s">
        <v>116</v>
      </c>
      <c r="F154" s="17" t="s">
        <v>17</v>
      </c>
      <c r="G154" s="17">
        <v>7</v>
      </c>
      <c r="H154" s="17">
        <v>60</v>
      </c>
      <c r="I154" s="17">
        <v>24</v>
      </c>
      <c r="J154" s="17">
        <f t="shared" si="21"/>
        <v>36</v>
      </c>
      <c r="K154" s="18">
        <v>15</v>
      </c>
      <c r="L154" s="18">
        <f t="shared" si="17"/>
        <v>540</v>
      </c>
      <c r="M154" s="18">
        <f t="shared" si="20"/>
        <v>97.2</v>
      </c>
      <c r="N154" s="18">
        <f t="shared" si="19"/>
        <v>637.20000000000005</v>
      </c>
    </row>
    <row r="155" spans="2:14" s="77" customFormat="1" ht="37.5" x14ac:dyDescent="0.25">
      <c r="B155" s="13">
        <v>44007</v>
      </c>
      <c r="C155" s="14" t="s">
        <v>123</v>
      </c>
      <c r="D155" s="15">
        <v>44007</v>
      </c>
      <c r="E155" s="16" t="s">
        <v>124</v>
      </c>
      <c r="F155" s="17" t="s">
        <v>17</v>
      </c>
      <c r="G155" s="17">
        <v>28</v>
      </c>
      <c r="H155" s="17">
        <v>72</v>
      </c>
      <c r="I155" s="17">
        <f>34+3+1+6</f>
        <v>44</v>
      </c>
      <c r="J155" s="17">
        <f t="shared" si="21"/>
        <v>28</v>
      </c>
      <c r="K155" s="18">
        <v>6.42</v>
      </c>
      <c r="L155" s="18">
        <f t="shared" si="17"/>
        <v>179.76</v>
      </c>
      <c r="M155" s="18">
        <f t="shared" si="20"/>
        <v>32.3568</v>
      </c>
      <c r="N155" s="18">
        <f t="shared" si="19"/>
        <v>212.11679999999998</v>
      </c>
    </row>
    <row r="156" spans="2:14" ht="37.5" x14ac:dyDescent="0.25">
      <c r="B156" s="1">
        <v>44007</v>
      </c>
      <c r="C156" s="2" t="s">
        <v>103</v>
      </c>
      <c r="D156" s="3">
        <v>44007</v>
      </c>
      <c r="E156" s="4" t="s">
        <v>125</v>
      </c>
      <c r="F156" s="5" t="s">
        <v>17</v>
      </c>
      <c r="G156" s="5">
        <v>36</v>
      </c>
      <c r="H156" s="5">
        <v>52</v>
      </c>
      <c r="I156" s="5">
        <v>26</v>
      </c>
      <c r="J156" s="5">
        <f t="shared" si="21"/>
        <v>26</v>
      </c>
      <c r="K156" s="6">
        <v>6.42</v>
      </c>
      <c r="L156" s="6">
        <f t="shared" si="17"/>
        <v>166.92</v>
      </c>
      <c r="M156" s="6">
        <f t="shared" si="20"/>
        <v>30.045599999999997</v>
      </c>
      <c r="N156" s="6">
        <f t="shared" si="19"/>
        <v>196.96559999999999</v>
      </c>
    </row>
    <row r="157" spans="2:14" ht="37.5" x14ac:dyDescent="0.25">
      <c r="B157" s="1">
        <v>44007</v>
      </c>
      <c r="C157" s="2" t="s">
        <v>126</v>
      </c>
      <c r="D157" s="3">
        <v>44007</v>
      </c>
      <c r="E157" s="4" t="s">
        <v>127</v>
      </c>
      <c r="F157" s="5" t="s">
        <v>17</v>
      </c>
      <c r="G157" s="5">
        <v>52</v>
      </c>
      <c r="H157" s="5">
        <v>66</v>
      </c>
      <c r="I157" s="5">
        <v>51</v>
      </c>
      <c r="J157" s="5">
        <f>H157-I157</f>
        <v>15</v>
      </c>
      <c r="K157" s="6">
        <v>6.42</v>
      </c>
      <c r="L157" s="6">
        <f t="shared" si="17"/>
        <v>96.3</v>
      </c>
      <c r="M157" s="6">
        <f t="shared" si="20"/>
        <v>17.334</v>
      </c>
      <c r="N157" s="6">
        <f t="shared" si="19"/>
        <v>113.634</v>
      </c>
    </row>
    <row r="158" spans="2:14" ht="25.5" customHeight="1" x14ac:dyDescent="0.25">
      <c r="B158" s="1">
        <v>44007</v>
      </c>
      <c r="C158" s="2" t="s">
        <v>171</v>
      </c>
      <c r="D158" s="3">
        <v>44007</v>
      </c>
      <c r="E158" s="4" t="s">
        <v>172</v>
      </c>
      <c r="F158" s="5" t="s">
        <v>17</v>
      </c>
      <c r="G158" s="5">
        <v>199</v>
      </c>
      <c r="H158" s="5">
        <v>200</v>
      </c>
      <c r="I158" s="5">
        <v>50</v>
      </c>
      <c r="J158" s="5">
        <f t="shared" si="21"/>
        <v>150</v>
      </c>
      <c r="K158" s="6">
        <v>7.97</v>
      </c>
      <c r="L158" s="6">
        <f t="shared" si="17"/>
        <v>1195.5</v>
      </c>
      <c r="M158" s="6">
        <f t="shared" si="20"/>
        <v>215.19</v>
      </c>
      <c r="N158" s="6">
        <f t="shared" si="19"/>
        <v>1410.69</v>
      </c>
    </row>
    <row r="159" spans="2:14" ht="29.25" customHeight="1" x14ac:dyDescent="0.25">
      <c r="B159" s="1">
        <v>44007</v>
      </c>
      <c r="C159" s="2" t="s">
        <v>173</v>
      </c>
      <c r="D159" s="3">
        <v>44007</v>
      </c>
      <c r="E159" s="4" t="s">
        <v>174</v>
      </c>
      <c r="F159" s="5" t="s">
        <v>71</v>
      </c>
      <c r="G159" s="5">
        <v>138</v>
      </c>
      <c r="H159" s="5">
        <v>150</v>
      </c>
      <c r="I159" s="5">
        <v>50</v>
      </c>
      <c r="J159" s="5">
        <f t="shared" si="21"/>
        <v>100</v>
      </c>
      <c r="K159" s="6">
        <v>7.34</v>
      </c>
      <c r="L159" s="6">
        <f t="shared" si="17"/>
        <v>734</v>
      </c>
      <c r="M159" s="6">
        <f t="shared" si="20"/>
        <v>132.12</v>
      </c>
      <c r="N159" s="6">
        <f t="shared" si="19"/>
        <v>866.12</v>
      </c>
    </row>
    <row r="160" spans="2:14" ht="24.75" customHeight="1" x14ac:dyDescent="0.25">
      <c r="B160" s="7">
        <f>B156</f>
        <v>44007</v>
      </c>
      <c r="C160" s="8" t="s">
        <v>55</v>
      </c>
      <c r="D160" s="9">
        <f>D156</f>
        <v>44007</v>
      </c>
      <c r="E160" s="10" t="s">
        <v>60</v>
      </c>
      <c r="F160" s="11" t="s">
        <v>17</v>
      </c>
      <c r="G160" s="11">
        <v>490</v>
      </c>
      <c r="H160" s="11">
        <v>500</v>
      </c>
      <c r="I160" s="11">
        <v>0</v>
      </c>
      <c r="J160" s="11">
        <f t="shared" si="21"/>
        <v>500</v>
      </c>
      <c r="K160" s="12">
        <v>0.87</v>
      </c>
      <c r="L160" s="12">
        <f t="shared" si="17"/>
        <v>435</v>
      </c>
      <c r="M160" s="12">
        <f t="shared" si="20"/>
        <v>78.3</v>
      </c>
      <c r="N160" s="12">
        <f t="shared" si="19"/>
        <v>513.29999999999995</v>
      </c>
    </row>
    <row r="161" spans="2:14" ht="30.75" customHeight="1" x14ac:dyDescent="0.25">
      <c r="B161" s="7">
        <f>B160</f>
        <v>44007</v>
      </c>
      <c r="C161" s="8" t="s">
        <v>55</v>
      </c>
      <c r="D161" s="9">
        <f>D160</f>
        <v>44007</v>
      </c>
      <c r="E161" s="10" t="s">
        <v>61</v>
      </c>
      <c r="F161" s="11" t="str">
        <f>F154</f>
        <v>UNID.</v>
      </c>
      <c r="G161" s="11">
        <v>2387</v>
      </c>
      <c r="H161" s="11">
        <v>3000</v>
      </c>
      <c r="I161" s="11">
        <f>670+20</f>
        <v>690</v>
      </c>
      <c r="J161" s="11">
        <f t="shared" si="21"/>
        <v>2310</v>
      </c>
      <c r="K161" s="12">
        <v>0.86399999999999999</v>
      </c>
      <c r="L161" s="12">
        <f t="shared" si="17"/>
        <v>1995.84</v>
      </c>
      <c r="M161" s="12">
        <f t="shared" si="20"/>
        <v>359.25119999999998</v>
      </c>
      <c r="N161" s="12">
        <f t="shared" si="19"/>
        <v>2355.0911999999998</v>
      </c>
    </row>
    <row r="162" spans="2:14" ht="37.5" x14ac:dyDescent="0.25">
      <c r="B162" s="1">
        <v>44006</v>
      </c>
      <c r="C162" s="2" t="s">
        <v>14</v>
      </c>
      <c r="D162" s="15">
        <v>44006</v>
      </c>
      <c r="E162" s="4" t="s">
        <v>16</v>
      </c>
      <c r="F162" s="5" t="s">
        <v>17</v>
      </c>
      <c r="G162" s="5">
        <v>0</v>
      </c>
      <c r="H162" s="5">
        <v>2</v>
      </c>
      <c r="I162" s="5">
        <v>2</v>
      </c>
      <c r="J162" s="5">
        <f>+H162-I162</f>
        <v>0</v>
      </c>
      <c r="K162" s="6">
        <v>440</v>
      </c>
      <c r="L162" s="6">
        <f>+K162*J162</f>
        <v>0</v>
      </c>
      <c r="M162" s="6">
        <f t="shared" si="20"/>
        <v>0</v>
      </c>
      <c r="N162" s="6">
        <f t="shared" si="19"/>
        <v>0</v>
      </c>
    </row>
    <row r="163" spans="2:14" s="77" customFormat="1" ht="27" customHeight="1" x14ac:dyDescent="0.25">
      <c r="B163" s="13">
        <v>44006</v>
      </c>
      <c r="C163" s="14" t="s">
        <v>12</v>
      </c>
      <c r="D163" s="15">
        <v>44006</v>
      </c>
      <c r="E163" s="16" t="s">
        <v>13</v>
      </c>
      <c r="F163" s="13" t="str">
        <f>F167</f>
        <v>UNID.</v>
      </c>
      <c r="G163" s="98">
        <v>130</v>
      </c>
      <c r="H163" s="17">
        <v>130</v>
      </c>
      <c r="I163" s="17">
        <f>14+1+1</f>
        <v>16</v>
      </c>
      <c r="J163" s="17">
        <f>+H163-I163</f>
        <v>114</v>
      </c>
      <c r="K163" s="18">
        <v>286</v>
      </c>
      <c r="L163" s="18">
        <f>J163*K163</f>
        <v>32604</v>
      </c>
      <c r="M163" s="18">
        <f t="shared" si="20"/>
        <v>5868.7199999999993</v>
      </c>
      <c r="N163" s="18">
        <f t="shared" si="19"/>
        <v>38472.720000000001</v>
      </c>
    </row>
    <row r="164" spans="2:14" ht="32.25" customHeight="1" x14ac:dyDescent="0.25">
      <c r="B164" s="1">
        <v>44006</v>
      </c>
      <c r="C164" s="2" t="s">
        <v>14</v>
      </c>
      <c r="D164" s="3">
        <v>44006</v>
      </c>
      <c r="E164" s="4" t="s">
        <v>15</v>
      </c>
      <c r="F164" s="5" t="str">
        <f>F167</f>
        <v>UNID.</v>
      </c>
      <c r="G164" s="5">
        <v>158</v>
      </c>
      <c r="H164" s="5">
        <v>203</v>
      </c>
      <c r="I164" s="5">
        <f>111+1+1+1+1+1+1+1+1+1+24</f>
        <v>144</v>
      </c>
      <c r="J164" s="5">
        <f>+H164-I164</f>
        <v>59</v>
      </c>
      <c r="K164" s="6">
        <v>201</v>
      </c>
      <c r="L164" s="6">
        <f>J164*K164</f>
        <v>11859</v>
      </c>
      <c r="M164" s="6">
        <f t="shared" si="20"/>
        <v>2134.62</v>
      </c>
      <c r="N164" s="6">
        <f t="shared" si="19"/>
        <v>13993.619999999999</v>
      </c>
    </row>
    <row r="165" spans="2:14" ht="37.5" x14ac:dyDescent="0.25">
      <c r="B165" s="1">
        <v>44006</v>
      </c>
      <c r="C165" s="2" t="s">
        <v>14</v>
      </c>
      <c r="D165" s="3">
        <v>44006</v>
      </c>
      <c r="E165" s="4" t="s">
        <v>18</v>
      </c>
      <c r="F165" s="5" t="s">
        <v>17</v>
      </c>
      <c r="G165" s="5">
        <v>1</v>
      </c>
      <c r="H165" s="5">
        <v>2</v>
      </c>
      <c r="I165" s="5">
        <v>1</v>
      </c>
      <c r="J165" s="5">
        <f>+H165-I165</f>
        <v>1</v>
      </c>
      <c r="K165" s="6">
        <v>440</v>
      </c>
      <c r="L165" s="6">
        <f>J165*K165</f>
        <v>440</v>
      </c>
      <c r="M165" s="6">
        <f t="shared" si="20"/>
        <v>79.2</v>
      </c>
      <c r="N165" s="6">
        <f t="shared" si="19"/>
        <v>519.20000000000005</v>
      </c>
    </row>
    <row r="166" spans="2:14" ht="27.75" customHeight="1" x14ac:dyDescent="0.25">
      <c r="B166" s="1">
        <v>44001</v>
      </c>
      <c r="C166" s="2" t="s">
        <v>30</v>
      </c>
      <c r="D166" s="15">
        <v>44001</v>
      </c>
      <c r="E166" s="4" t="s">
        <v>314</v>
      </c>
      <c r="F166" s="5" t="s">
        <v>313</v>
      </c>
      <c r="G166" s="5">
        <v>3</v>
      </c>
      <c r="H166" s="5">
        <v>1000</v>
      </c>
      <c r="I166" s="5">
        <v>966</v>
      </c>
      <c r="J166" s="5">
        <v>34</v>
      </c>
      <c r="K166" s="6">
        <v>9</v>
      </c>
      <c r="L166" s="6">
        <v>900</v>
      </c>
      <c r="M166" s="6">
        <v>162</v>
      </c>
      <c r="N166" s="12">
        <v>1062</v>
      </c>
    </row>
    <row r="167" spans="2:14" s="77" customFormat="1" ht="24.75" customHeight="1" x14ac:dyDescent="0.25">
      <c r="B167" s="13">
        <v>44001</v>
      </c>
      <c r="C167" s="14" t="s">
        <v>280</v>
      </c>
      <c r="D167" s="15">
        <v>44001</v>
      </c>
      <c r="E167" s="16" t="s">
        <v>282</v>
      </c>
      <c r="F167" s="17" t="s">
        <v>17</v>
      </c>
      <c r="G167" s="17">
        <v>38</v>
      </c>
      <c r="H167" s="17">
        <v>88</v>
      </c>
      <c r="I167" s="17">
        <f>48+1+2+1+2+1+12</f>
        <v>67</v>
      </c>
      <c r="J167" s="17">
        <f t="shared" ref="J167:J174" si="22">H167-I167</f>
        <v>21</v>
      </c>
      <c r="K167" s="18">
        <v>74</v>
      </c>
      <c r="L167" s="18">
        <f>J167*K167</f>
        <v>1554</v>
      </c>
      <c r="M167" s="18">
        <f t="shared" ref="M167:M198" si="23">L167*18%</f>
        <v>279.71999999999997</v>
      </c>
      <c r="N167" s="18">
        <f t="shared" ref="N167:N198" si="24">L167+M167</f>
        <v>1833.72</v>
      </c>
    </row>
    <row r="168" spans="2:14" ht="37.5" x14ac:dyDescent="0.25">
      <c r="B168" s="1">
        <v>44001</v>
      </c>
      <c r="C168" s="2" t="s">
        <v>295</v>
      </c>
      <c r="D168" s="15">
        <v>44001</v>
      </c>
      <c r="E168" s="4" t="s">
        <v>296</v>
      </c>
      <c r="F168" s="5" t="s">
        <v>17</v>
      </c>
      <c r="G168" s="5">
        <v>0</v>
      </c>
      <c r="H168" s="5">
        <v>12</v>
      </c>
      <c r="I168" s="5">
        <v>12</v>
      </c>
      <c r="J168" s="5">
        <f t="shared" si="22"/>
        <v>0</v>
      </c>
      <c r="K168" s="6">
        <v>119</v>
      </c>
      <c r="L168" s="6">
        <f>J168*K168</f>
        <v>0</v>
      </c>
      <c r="M168" s="6">
        <f t="shared" si="23"/>
        <v>0</v>
      </c>
      <c r="N168" s="6">
        <f t="shared" si="24"/>
        <v>0</v>
      </c>
    </row>
    <row r="169" spans="2:14" ht="37.5" customHeight="1" x14ac:dyDescent="0.25">
      <c r="B169" s="1">
        <v>44001</v>
      </c>
      <c r="C169" s="2" t="s">
        <v>297</v>
      </c>
      <c r="D169" s="15">
        <v>44001</v>
      </c>
      <c r="E169" s="4" t="s">
        <v>298</v>
      </c>
      <c r="F169" s="5" t="s">
        <v>17</v>
      </c>
      <c r="G169" s="5">
        <v>3</v>
      </c>
      <c r="H169" s="5">
        <v>22</v>
      </c>
      <c r="I169" s="5">
        <v>22</v>
      </c>
      <c r="J169" s="5">
        <f t="shared" si="22"/>
        <v>0</v>
      </c>
      <c r="K169" s="6">
        <v>270</v>
      </c>
      <c r="L169" s="6">
        <f>J169*K169</f>
        <v>0</v>
      </c>
      <c r="M169" s="6">
        <f t="shared" si="23"/>
        <v>0</v>
      </c>
      <c r="N169" s="6">
        <f t="shared" si="24"/>
        <v>0</v>
      </c>
    </row>
    <row r="170" spans="2:14" ht="25.5" customHeight="1" x14ac:dyDescent="0.25">
      <c r="B170" s="31">
        <f>B169</f>
        <v>44001</v>
      </c>
      <c r="C170" s="32" t="s">
        <v>297</v>
      </c>
      <c r="D170" s="33">
        <f>D169</f>
        <v>44001</v>
      </c>
      <c r="E170" s="34" t="s">
        <v>299</v>
      </c>
      <c r="F170" s="35" t="s">
        <v>300</v>
      </c>
      <c r="G170" s="35">
        <v>7</v>
      </c>
      <c r="H170" s="35">
        <v>22</v>
      </c>
      <c r="I170" s="35">
        <v>14</v>
      </c>
      <c r="J170" s="5">
        <f t="shared" si="22"/>
        <v>8</v>
      </c>
      <c r="K170" s="36">
        <v>1300</v>
      </c>
      <c r="L170" s="36">
        <f>K170*J170</f>
        <v>10400</v>
      </c>
      <c r="M170" s="36">
        <f t="shared" si="23"/>
        <v>1872</v>
      </c>
      <c r="N170" s="36">
        <f t="shared" si="24"/>
        <v>12272</v>
      </c>
    </row>
    <row r="171" spans="2:14" ht="33.75" customHeight="1" x14ac:dyDescent="0.25">
      <c r="B171" s="1">
        <v>44001</v>
      </c>
      <c r="C171" s="2" t="s">
        <v>301</v>
      </c>
      <c r="D171" s="15">
        <v>44001</v>
      </c>
      <c r="E171" s="4" t="s">
        <v>325</v>
      </c>
      <c r="F171" s="5" t="s">
        <v>17</v>
      </c>
      <c r="G171" s="5">
        <v>4</v>
      </c>
      <c r="H171" s="5">
        <v>6</v>
      </c>
      <c r="I171" s="5">
        <f>4+1</f>
        <v>5</v>
      </c>
      <c r="J171" s="5">
        <f t="shared" si="22"/>
        <v>1</v>
      </c>
      <c r="K171" s="6">
        <v>195</v>
      </c>
      <c r="L171" s="6">
        <f t="shared" ref="L171:L202" si="25">J171*K171</f>
        <v>195</v>
      </c>
      <c r="M171" s="6">
        <f t="shared" si="23"/>
        <v>35.1</v>
      </c>
      <c r="N171" s="6">
        <f t="shared" si="24"/>
        <v>230.1</v>
      </c>
    </row>
    <row r="172" spans="2:14" ht="38.25" customHeight="1" x14ac:dyDescent="0.25">
      <c r="B172" s="1">
        <v>44001</v>
      </c>
      <c r="C172" s="2" t="s">
        <v>162</v>
      </c>
      <c r="D172" s="15">
        <v>44001</v>
      </c>
      <c r="E172" s="4" t="s">
        <v>326</v>
      </c>
      <c r="F172" s="5" t="s">
        <v>17</v>
      </c>
      <c r="G172" s="5">
        <v>3</v>
      </c>
      <c r="H172" s="5">
        <v>15</v>
      </c>
      <c r="I172" s="5">
        <v>15</v>
      </c>
      <c r="J172" s="5">
        <f t="shared" si="22"/>
        <v>0</v>
      </c>
      <c r="K172" s="6">
        <v>213</v>
      </c>
      <c r="L172" s="6">
        <f t="shared" si="25"/>
        <v>0</v>
      </c>
      <c r="M172" s="6">
        <f t="shared" si="23"/>
        <v>0</v>
      </c>
      <c r="N172" s="6">
        <f t="shared" si="24"/>
        <v>0</v>
      </c>
    </row>
    <row r="173" spans="2:14" ht="39" customHeight="1" x14ac:dyDescent="0.25">
      <c r="B173" s="1">
        <v>44001</v>
      </c>
      <c r="C173" s="2" t="s">
        <v>182</v>
      </c>
      <c r="D173" s="15">
        <v>44001</v>
      </c>
      <c r="E173" s="4" t="s">
        <v>312</v>
      </c>
      <c r="F173" s="5" t="s">
        <v>313</v>
      </c>
      <c r="G173" s="5">
        <v>16</v>
      </c>
      <c r="H173" s="5">
        <v>10</v>
      </c>
      <c r="I173" s="5">
        <v>0</v>
      </c>
      <c r="J173" s="5">
        <f t="shared" si="22"/>
        <v>10</v>
      </c>
      <c r="K173" s="6">
        <v>629</v>
      </c>
      <c r="L173" s="6">
        <f t="shared" si="25"/>
        <v>6290</v>
      </c>
      <c r="M173" s="36">
        <f t="shared" si="23"/>
        <v>1132.2</v>
      </c>
      <c r="N173" s="36">
        <f t="shared" si="24"/>
        <v>7422.2</v>
      </c>
    </row>
    <row r="174" spans="2:14" ht="24" customHeight="1" x14ac:dyDescent="0.25">
      <c r="B174" s="1">
        <v>44001</v>
      </c>
      <c r="C174" s="2" t="s">
        <v>285</v>
      </c>
      <c r="D174" s="3">
        <v>44001</v>
      </c>
      <c r="E174" s="4" t="s">
        <v>287</v>
      </c>
      <c r="F174" s="5" t="s">
        <v>17</v>
      </c>
      <c r="G174" s="5">
        <v>2</v>
      </c>
      <c r="H174" s="5">
        <v>8</v>
      </c>
      <c r="I174" s="5">
        <v>4</v>
      </c>
      <c r="J174" s="5">
        <f t="shared" si="22"/>
        <v>4</v>
      </c>
      <c r="K174" s="6">
        <v>7500</v>
      </c>
      <c r="L174" s="6">
        <f t="shared" si="25"/>
        <v>30000</v>
      </c>
      <c r="M174" s="6">
        <f t="shared" si="23"/>
        <v>5400</v>
      </c>
      <c r="N174" s="6">
        <f t="shared" si="24"/>
        <v>35400</v>
      </c>
    </row>
    <row r="175" spans="2:14" ht="40.5" customHeight="1" x14ac:dyDescent="0.25">
      <c r="B175" s="1">
        <v>44001</v>
      </c>
      <c r="C175" s="2" t="s">
        <v>21</v>
      </c>
      <c r="D175" s="3">
        <v>44001</v>
      </c>
      <c r="E175" s="4" t="s">
        <v>22</v>
      </c>
      <c r="F175" s="5" t="s">
        <v>17</v>
      </c>
      <c r="G175" s="5">
        <v>0</v>
      </c>
      <c r="H175" s="5">
        <v>0</v>
      </c>
      <c r="I175" s="45">
        <v>0</v>
      </c>
      <c r="J175" s="5">
        <f>+H175-I175</f>
        <v>0</v>
      </c>
      <c r="K175" s="6">
        <v>260</v>
      </c>
      <c r="L175" s="6">
        <f t="shared" si="25"/>
        <v>0</v>
      </c>
      <c r="M175" s="6">
        <f t="shared" si="23"/>
        <v>0</v>
      </c>
      <c r="N175" s="6">
        <f t="shared" si="24"/>
        <v>0</v>
      </c>
    </row>
    <row r="176" spans="2:14" ht="33" customHeight="1" x14ac:dyDescent="0.25">
      <c r="B176" s="19">
        <v>43999</v>
      </c>
      <c r="C176" s="2" t="s">
        <v>346</v>
      </c>
      <c r="D176" s="21">
        <v>43999</v>
      </c>
      <c r="E176" s="4" t="s">
        <v>347</v>
      </c>
      <c r="F176" s="5" t="s">
        <v>17</v>
      </c>
      <c r="G176" s="5">
        <v>0</v>
      </c>
      <c r="H176" s="5">
        <v>5</v>
      </c>
      <c r="I176" s="5">
        <v>5</v>
      </c>
      <c r="J176" s="5">
        <f t="shared" ref="J176:J195" si="26">H176-I176</f>
        <v>0</v>
      </c>
      <c r="K176" s="6">
        <v>125</v>
      </c>
      <c r="L176" s="6">
        <f t="shared" si="25"/>
        <v>0</v>
      </c>
      <c r="M176" s="6">
        <f t="shared" si="23"/>
        <v>0</v>
      </c>
      <c r="N176" s="6">
        <f t="shared" si="24"/>
        <v>0</v>
      </c>
    </row>
    <row r="177" spans="2:14" ht="37.5" x14ac:dyDescent="0.25">
      <c r="B177" s="19">
        <v>43999</v>
      </c>
      <c r="C177" s="2" t="s">
        <v>348</v>
      </c>
      <c r="D177" s="21">
        <v>43999</v>
      </c>
      <c r="E177" s="4" t="s">
        <v>349</v>
      </c>
      <c r="F177" s="5" t="s">
        <v>17</v>
      </c>
      <c r="G177" s="5">
        <v>0</v>
      </c>
      <c r="H177" s="5">
        <v>5</v>
      </c>
      <c r="I177" s="5">
        <v>5</v>
      </c>
      <c r="J177" s="5">
        <f t="shared" si="26"/>
        <v>0</v>
      </c>
      <c r="K177" s="6">
        <v>120</v>
      </c>
      <c r="L177" s="6">
        <f t="shared" si="25"/>
        <v>0</v>
      </c>
      <c r="M177" s="6">
        <f t="shared" si="23"/>
        <v>0</v>
      </c>
      <c r="N177" s="6">
        <f t="shared" si="24"/>
        <v>0</v>
      </c>
    </row>
    <row r="178" spans="2:14" ht="37.5" x14ac:dyDescent="0.25">
      <c r="B178" s="19">
        <v>43999</v>
      </c>
      <c r="C178" s="2" t="s">
        <v>350</v>
      </c>
      <c r="D178" s="21">
        <v>43999</v>
      </c>
      <c r="E178" s="4" t="s">
        <v>351</v>
      </c>
      <c r="F178" s="5" t="s">
        <v>17</v>
      </c>
      <c r="G178" s="5">
        <v>0</v>
      </c>
      <c r="H178" s="5">
        <v>5</v>
      </c>
      <c r="I178" s="5">
        <v>5</v>
      </c>
      <c r="J178" s="5">
        <f t="shared" si="26"/>
        <v>0</v>
      </c>
      <c r="K178" s="6">
        <v>120</v>
      </c>
      <c r="L178" s="6">
        <f t="shared" si="25"/>
        <v>0</v>
      </c>
      <c r="M178" s="6">
        <f t="shared" si="23"/>
        <v>0</v>
      </c>
      <c r="N178" s="6">
        <f t="shared" si="24"/>
        <v>0</v>
      </c>
    </row>
    <row r="179" spans="2:14" ht="37.5" x14ac:dyDescent="0.25">
      <c r="B179" s="19">
        <v>43999</v>
      </c>
      <c r="C179" s="2" t="s">
        <v>337</v>
      </c>
      <c r="D179" s="21">
        <v>43999</v>
      </c>
      <c r="E179" s="4" t="s">
        <v>354</v>
      </c>
      <c r="F179" s="5" t="s">
        <v>313</v>
      </c>
      <c r="G179" s="5">
        <v>0</v>
      </c>
      <c r="H179" s="5">
        <v>2</v>
      </c>
      <c r="I179" s="5">
        <v>2</v>
      </c>
      <c r="J179" s="5">
        <f t="shared" si="26"/>
        <v>0</v>
      </c>
      <c r="K179" s="6">
        <v>2480</v>
      </c>
      <c r="L179" s="6">
        <f t="shared" si="25"/>
        <v>0</v>
      </c>
      <c r="M179" s="6">
        <f t="shared" si="23"/>
        <v>0</v>
      </c>
      <c r="N179" s="6">
        <f t="shared" si="24"/>
        <v>0</v>
      </c>
    </row>
    <row r="180" spans="2:14" ht="27" customHeight="1" x14ac:dyDescent="0.25">
      <c r="B180" s="19">
        <v>43999</v>
      </c>
      <c r="C180" s="2" t="s">
        <v>283</v>
      </c>
      <c r="D180" s="21">
        <v>43999</v>
      </c>
      <c r="E180" s="4" t="s">
        <v>355</v>
      </c>
      <c r="F180" s="5" t="s">
        <v>17</v>
      </c>
      <c r="G180" s="5">
        <v>0</v>
      </c>
      <c r="H180" s="5">
        <v>3</v>
      </c>
      <c r="I180" s="5">
        <v>3</v>
      </c>
      <c r="J180" s="5">
        <f t="shared" si="26"/>
        <v>0</v>
      </c>
      <c r="K180" s="6">
        <v>280</v>
      </c>
      <c r="L180" s="6">
        <f t="shared" si="25"/>
        <v>0</v>
      </c>
      <c r="M180" s="6">
        <f t="shared" si="23"/>
        <v>0</v>
      </c>
      <c r="N180" s="6">
        <f t="shared" si="24"/>
        <v>0</v>
      </c>
    </row>
    <row r="181" spans="2:14" ht="37.5" x14ac:dyDescent="0.25">
      <c r="B181" s="19">
        <v>43999</v>
      </c>
      <c r="C181" s="2" t="s">
        <v>357</v>
      </c>
      <c r="D181" s="21">
        <v>43999</v>
      </c>
      <c r="E181" s="4" t="s">
        <v>358</v>
      </c>
      <c r="F181" s="5" t="s">
        <v>17</v>
      </c>
      <c r="G181" s="5">
        <v>0</v>
      </c>
      <c r="H181" s="5">
        <v>5</v>
      </c>
      <c r="I181" s="5">
        <v>5</v>
      </c>
      <c r="J181" s="5">
        <f t="shared" si="26"/>
        <v>0</v>
      </c>
      <c r="K181" s="6">
        <v>120</v>
      </c>
      <c r="L181" s="6">
        <f t="shared" si="25"/>
        <v>0</v>
      </c>
      <c r="M181" s="6">
        <f t="shared" si="23"/>
        <v>0</v>
      </c>
      <c r="N181" s="6">
        <f t="shared" si="24"/>
        <v>0</v>
      </c>
    </row>
    <row r="182" spans="2:14" ht="24.75" customHeight="1" x14ac:dyDescent="0.25">
      <c r="B182" s="1">
        <v>43830</v>
      </c>
      <c r="C182" s="2" t="s">
        <v>162</v>
      </c>
      <c r="D182" s="3">
        <v>43830</v>
      </c>
      <c r="E182" s="4" t="s">
        <v>185</v>
      </c>
      <c r="F182" s="5" t="s">
        <v>17</v>
      </c>
      <c r="G182" s="5">
        <v>0</v>
      </c>
      <c r="H182" s="5">
        <v>3</v>
      </c>
      <c r="I182" s="5">
        <v>2</v>
      </c>
      <c r="J182" s="5">
        <f t="shared" si="26"/>
        <v>1</v>
      </c>
      <c r="K182" s="6">
        <v>1066</v>
      </c>
      <c r="L182" s="6">
        <f t="shared" si="25"/>
        <v>1066</v>
      </c>
      <c r="M182" s="6">
        <f t="shared" si="23"/>
        <v>191.88</v>
      </c>
      <c r="N182" s="6">
        <f t="shared" si="24"/>
        <v>1257.8800000000001</v>
      </c>
    </row>
    <row r="183" spans="2:14" ht="37.5" x14ac:dyDescent="0.25">
      <c r="B183" s="1">
        <v>43830</v>
      </c>
      <c r="C183" s="2" t="s">
        <v>162</v>
      </c>
      <c r="D183" s="3">
        <v>43830</v>
      </c>
      <c r="E183" s="4" t="s">
        <v>186</v>
      </c>
      <c r="F183" s="5" t="s">
        <v>17</v>
      </c>
      <c r="G183" s="5">
        <v>0</v>
      </c>
      <c r="H183" s="5">
        <v>1</v>
      </c>
      <c r="I183" s="5">
        <v>1</v>
      </c>
      <c r="J183" s="5">
        <f t="shared" si="26"/>
        <v>0</v>
      </c>
      <c r="K183" s="6">
        <v>1187.0999999999999</v>
      </c>
      <c r="L183" s="6">
        <f t="shared" si="25"/>
        <v>0</v>
      </c>
      <c r="M183" s="6">
        <f t="shared" si="23"/>
        <v>0</v>
      </c>
      <c r="N183" s="6">
        <f t="shared" si="24"/>
        <v>0</v>
      </c>
    </row>
    <row r="184" spans="2:14" ht="32.25" customHeight="1" x14ac:dyDescent="0.25">
      <c r="B184" s="1">
        <v>43621</v>
      </c>
      <c r="C184" s="2" t="s">
        <v>182</v>
      </c>
      <c r="D184" s="3">
        <v>43621</v>
      </c>
      <c r="E184" s="4" t="s">
        <v>183</v>
      </c>
      <c r="F184" s="5" t="s">
        <v>17</v>
      </c>
      <c r="G184" s="5">
        <v>0</v>
      </c>
      <c r="H184" s="5">
        <v>1</v>
      </c>
      <c r="I184" s="5">
        <v>1</v>
      </c>
      <c r="J184" s="5">
        <f t="shared" si="26"/>
        <v>0</v>
      </c>
      <c r="K184" s="6">
        <v>30650</v>
      </c>
      <c r="L184" s="6">
        <f t="shared" si="25"/>
        <v>0</v>
      </c>
      <c r="M184" s="6">
        <f t="shared" si="23"/>
        <v>0</v>
      </c>
      <c r="N184" s="6">
        <f t="shared" si="24"/>
        <v>0</v>
      </c>
    </row>
    <row r="185" spans="2:14" ht="37.5" x14ac:dyDescent="0.25">
      <c r="B185" s="1">
        <v>43620</v>
      </c>
      <c r="C185" s="2" t="s">
        <v>175</v>
      </c>
      <c r="D185" s="3">
        <v>43620</v>
      </c>
      <c r="E185" s="4" t="s">
        <v>176</v>
      </c>
      <c r="F185" s="5" t="s">
        <v>17</v>
      </c>
      <c r="G185" s="5">
        <v>0</v>
      </c>
      <c r="H185" s="5">
        <v>2</v>
      </c>
      <c r="I185" s="5">
        <v>2</v>
      </c>
      <c r="J185" s="5">
        <f t="shared" si="26"/>
        <v>0</v>
      </c>
      <c r="K185" s="6">
        <v>1750</v>
      </c>
      <c r="L185" s="6">
        <f t="shared" si="25"/>
        <v>0</v>
      </c>
      <c r="M185" s="6">
        <f t="shared" si="23"/>
        <v>0</v>
      </c>
      <c r="N185" s="6">
        <f t="shared" si="24"/>
        <v>0</v>
      </c>
    </row>
    <row r="186" spans="2:14" ht="37.5" x14ac:dyDescent="0.25">
      <c r="B186" s="1">
        <v>43619</v>
      </c>
      <c r="C186" s="2" t="s">
        <v>169</v>
      </c>
      <c r="D186" s="3">
        <v>43619</v>
      </c>
      <c r="E186" s="4" t="s">
        <v>170</v>
      </c>
      <c r="F186" s="5" t="s">
        <v>17</v>
      </c>
      <c r="G186" s="5">
        <v>1</v>
      </c>
      <c r="H186" s="5">
        <v>3</v>
      </c>
      <c r="I186" s="5">
        <v>3</v>
      </c>
      <c r="J186" s="5">
        <f t="shared" si="26"/>
        <v>0</v>
      </c>
      <c r="K186" s="6">
        <v>6395</v>
      </c>
      <c r="L186" s="6">
        <f t="shared" si="25"/>
        <v>0</v>
      </c>
      <c r="M186" s="6">
        <f t="shared" si="23"/>
        <v>0</v>
      </c>
      <c r="N186" s="6">
        <f t="shared" si="24"/>
        <v>0</v>
      </c>
    </row>
    <row r="187" spans="2:14" ht="37.5" x14ac:dyDescent="0.25">
      <c r="B187" s="1">
        <v>43612</v>
      </c>
      <c r="C187" s="2" t="s">
        <v>129</v>
      </c>
      <c r="D187" s="15">
        <v>43612</v>
      </c>
      <c r="E187" s="4" t="s">
        <v>130</v>
      </c>
      <c r="F187" s="5" t="s">
        <v>17</v>
      </c>
      <c r="G187" s="5">
        <v>0</v>
      </c>
      <c r="H187" s="5">
        <v>1</v>
      </c>
      <c r="I187" s="5">
        <v>1</v>
      </c>
      <c r="J187" s="5">
        <f t="shared" si="26"/>
        <v>0</v>
      </c>
      <c r="K187" s="6">
        <v>224.38</v>
      </c>
      <c r="L187" s="6">
        <f t="shared" si="25"/>
        <v>0</v>
      </c>
      <c r="M187" s="6">
        <f t="shared" si="23"/>
        <v>0</v>
      </c>
      <c r="N187" s="6">
        <f t="shared" si="24"/>
        <v>0</v>
      </c>
    </row>
    <row r="188" spans="2:14" ht="37.5" x14ac:dyDescent="0.25">
      <c r="B188" s="1">
        <v>43612</v>
      </c>
      <c r="C188" s="2" t="s">
        <v>131</v>
      </c>
      <c r="D188" s="15">
        <v>43612</v>
      </c>
      <c r="E188" s="4" t="s">
        <v>132</v>
      </c>
      <c r="F188" s="5" t="s">
        <v>17</v>
      </c>
      <c r="G188" s="5">
        <v>0</v>
      </c>
      <c r="H188" s="5">
        <v>2</v>
      </c>
      <c r="I188" s="5">
        <v>2</v>
      </c>
      <c r="J188" s="5">
        <f t="shared" si="26"/>
        <v>0</v>
      </c>
      <c r="K188" s="6">
        <v>212.35</v>
      </c>
      <c r="L188" s="6">
        <f t="shared" si="25"/>
        <v>0</v>
      </c>
      <c r="M188" s="6">
        <f t="shared" si="23"/>
        <v>0</v>
      </c>
      <c r="N188" s="6">
        <f t="shared" si="24"/>
        <v>0</v>
      </c>
    </row>
    <row r="189" spans="2:14" s="77" customFormat="1" ht="56.25" x14ac:dyDescent="0.25">
      <c r="B189" s="13">
        <v>43595</v>
      </c>
      <c r="C189" s="14" t="s">
        <v>84</v>
      </c>
      <c r="D189" s="15">
        <v>43595</v>
      </c>
      <c r="E189" s="16" t="s">
        <v>85</v>
      </c>
      <c r="F189" s="17" t="s">
        <v>17</v>
      </c>
      <c r="G189" s="17">
        <v>12</v>
      </c>
      <c r="H189" s="17">
        <v>17</v>
      </c>
      <c r="I189" s="17">
        <v>17</v>
      </c>
      <c r="J189" s="17">
        <f t="shared" si="26"/>
        <v>0</v>
      </c>
      <c r="K189" s="18">
        <v>364</v>
      </c>
      <c r="L189" s="18">
        <f t="shared" si="25"/>
        <v>0</v>
      </c>
      <c r="M189" s="18">
        <f t="shared" si="23"/>
        <v>0</v>
      </c>
      <c r="N189" s="18">
        <f t="shared" si="24"/>
        <v>0</v>
      </c>
    </row>
    <row r="190" spans="2:14" ht="34.5" customHeight="1" x14ac:dyDescent="0.25">
      <c r="B190" s="19">
        <v>43594</v>
      </c>
      <c r="C190" s="20" t="s">
        <v>82</v>
      </c>
      <c r="D190" s="21">
        <v>43594</v>
      </c>
      <c r="E190" s="22" t="s">
        <v>83</v>
      </c>
      <c r="F190" s="23" t="s">
        <v>17</v>
      </c>
      <c r="G190" s="23">
        <v>8</v>
      </c>
      <c r="H190" s="23">
        <v>10</v>
      </c>
      <c r="I190" s="23">
        <v>10</v>
      </c>
      <c r="J190" s="23">
        <f t="shared" si="26"/>
        <v>0</v>
      </c>
      <c r="K190" s="24">
        <v>250</v>
      </c>
      <c r="L190" s="24">
        <f t="shared" si="25"/>
        <v>0</v>
      </c>
      <c r="M190" s="24">
        <f t="shared" si="23"/>
        <v>0</v>
      </c>
      <c r="N190" s="24">
        <f t="shared" si="24"/>
        <v>0</v>
      </c>
    </row>
    <row r="191" spans="2:14" s="77" customFormat="1" ht="37.5" x14ac:dyDescent="0.25">
      <c r="B191" s="13">
        <v>43593</v>
      </c>
      <c r="C191" s="14" t="s">
        <v>80</v>
      </c>
      <c r="D191" s="15">
        <v>43593</v>
      </c>
      <c r="E191" s="34" t="s">
        <v>81</v>
      </c>
      <c r="F191" s="17" t="s">
        <v>17</v>
      </c>
      <c r="G191" s="17">
        <v>8</v>
      </c>
      <c r="H191" s="17">
        <v>60</v>
      </c>
      <c r="I191" s="17">
        <v>22</v>
      </c>
      <c r="J191" s="17">
        <f t="shared" si="26"/>
        <v>38</v>
      </c>
      <c r="K191" s="18">
        <v>4</v>
      </c>
      <c r="L191" s="18">
        <f t="shared" si="25"/>
        <v>152</v>
      </c>
      <c r="M191" s="18">
        <f t="shared" si="23"/>
        <v>27.36</v>
      </c>
      <c r="N191" s="18">
        <f t="shared" si="24"/>
        <v>179.36</v>
      </c>
    </row>
    <row r="192" spans="2:14" s="77" customFormat="1" ht="37.5" x14ac:dyDescent="0.25">
      <c r="B192" s="13">
        <v>43592</v>
      </c>
      <c r="C192" s="14" t="s">
        <v>78</v>
      </c>
      <c r="D192" s="15">
        <v>43592</v>
      </c>
      <c r="E192" s="16" t="s">
        <v>79</v>
      </c>
      <c r="F192" s="17" t="s">
        <v>17</v>
      </c>
      <c r="G192" s="17">
        <v>167</v>
      </c>
      <c r="H192" s="17">
        <v>204</v>
      </c>
      <c r="I192" s="17">
        <f>143+2+14</f>
        <v>159</v>
      </c>
      <c r="J192" s="17">
        <f t="shared" si="26"/>
        <v>45</v>
      </c>
      <c r="K192" s="18">
        <v>31.666</v>
      </c>
      <c r="L192" s="18">
        <f t="shared" si="25"/>
        <v>1424.97</v>
      </c>
      <c r="M192" s="18">
        <f t="shared" si="23"/>
        <v>256.49459999999999</v>
      </c>
      <c r="N192" s="18">
        <f t="shared" si="24"/>
        <v>1681.4646</v>
      </c>
    </row>
    <row r="193" spans="2:14" ht="56.25" x14ac:dyDescent="0.25">
      <c r="B193" s="1">
        <v>43591</v>
      </c>
      <c r="C193" s="2" t="s">
        <v>76</v>
      </c>
      <c r="D193" s="3">
        <v>43591</v>
      </c>
      <c r="E193" s="4" t="s">
        <v>77</v>
      </c>
      <c r="F193" s="5" t="s">
        <v>71</v>
      </c>
      <c r="G193" s="5">
        <v>0</v>
      </c>
      <c r="H193" s="5">
        <v>500</v>
      </c>
      <c r="I193" s="5">
        <v>500</v>
      </c>
      <c r="J193" s="5">
        <f t="shared" si="26"/>
        <v>0</v>
      </c>
      <c r="K193" s="6">
        <v>9.8000000000000007</v>
      </c>
      <c r="L193" s="6">
        <f t="shared" si="25"/>
        <v>0</v>
      </c>
      <c r="M193" s="6">
        <f t="shared" si="23"/>
        <v>0</v>
      </c>
      <c r="N193" s="6">
        <f t="shared" si="24"/>
        <v>0</v>
      </c>
    </row>
    <row r="194" spans="2:14" s="77" customFormat="1" ht="37.5" x14ac:dyDescent="0.25">
      <c r="B194" s="13">
        <v>43590</v>
      </c>
      <c r="C194" s="14" t="s">
        <v>74</v>
      </c>
      <c r="D194" s="15">
        <v>43590</v>
      </c>
      <c r="E194" s="16" t="s">
        <v>75</v>
      </c>
      <c r="F194" s="17" t="s">
        <v>17</v>
      </c>
      <c r="G194" s="17">
        <v>0</v>
      </c>
      <c r="H194" s="17">
        <v>482</v>
      </c>
      <c r="I194" s="17">
        <v>195</v>
      </c>
      <c r="J194" s="17">
        <f t="shared" si="26"/>
        <v>287</v>
      </c>
      <c r="K194" s="18">
        <v>11.833</v>
      </c>
      <c r="L194" s="18">
        <f t="shared" si="25"/>
        <v>3396.0709999999999</v>
      </c>
      <c r="M194" s="18">
        <f t="shared" si="23"/>
        <v>611.29277999999999</v>
      </c>
      <c r="N194" s="18">
        <f t="shared" si="24"/>
        <v>4007.3637799999997</v>
      </c>
    </row>
    <row r="195" spans="2:14" s="77" customFormat="1" ht="37.5" x14ac:dyDescent="0.25">
      <c r="B195" s="13">
        <v>43586</v>
      </c>
      <c r="C195" s="14" t="s">
        <v>53</v>
      </c>
      <c r="D195" s="15">
        <v>43586</v>
      </c>
      <c r="E195" s="16" t="s">
        <v>54</v>
      </c>
      <c r="F195" s="17" t="s">
        <v>29</v>
      </c>
      <c r="G195" s="17">
        <v>64</v>
      </c>
      <c r="H195" s="17">
        <v>160</v>
      </c>
      <c r="I195" s="17">
        <v>149</v>
      </c>
      <c r="J195" s="17">
        <f t="shared" si="26"/>
        <v>11</v>
      </c>
      <c r="K195" s="18">
        <v>29</v>
      </c>
      <c r="L195" s="18">
        <f t="shared" si="25"/>
        <v>319</v>
      </c>
      <c r="M195" s="18">
        <f t="shared" si="23"/>
        <v>57.419999999999995</v>
      </c>
      <c r="N195" s="18">
        <f t="shared" si="24"/>
        <v>376.42</v>
      </c>
    </row>
    <row r="196" spans="2:14" ht="37.5" x14ac:dyDescent="0.25">
      <c r="B196" s="1">
        <v>43418</v>
      </c>
      <c r="C196" s="2" t="s">
        <v>36</v>
      </c>
      <c r="D196" s="3">
        <v>43419</v>
      </c>
      <c r="E196" s="4" t="s">
        <v>37</v>
      </c>
      <c r="F196" s="5" t="s">
        <v>17</v>
      </c>
      <c r="G196" s="5">
        <v>0</v>
      </c>
      <c r="H196" s="5">
        <v>20</v>
      </c>
      <c r="I196" s="5">
        <v>20</v>
      </c>
      <c r="J196" s="5">
        <f>+H196-I196</f>
        <v>0</v>
      </c>
      <c r="K196" s="6">
        <v>130</v>
      </c>
      <c r="L196" s="6">
        <f t="shared" si="25"/>
        <v>0</v>
      </c>
      <c r="M196" s="6">
        <f t="shared" si="23"/>
        <v>0</v>
      </c>
      <c r="N196" s="6">
        <f t="shared" si="24"/>
        <v>0</v>
      </c>
    </row>
    <row r="197" spans="2:14" ht="29.25" customHeight="1" x14ac:dyDescent="0.25">
      <c r="B197" s="1">
        <v>43418</v>
      </c>
      <c r="C197" s="2" t="s">
        <v>30</v>
      </c>
      <c r="D197" s="3">
        <v>43418</v>
      </c>
      <c r="E197" s="4" t="s">
        <v>31</v>
      </c>
      <c r="F197" s="5" t="s">
        <v>17</v>
      </c>
      <c r="G197" s="5">
        <v>0</v>
      </c>
      <c r="H197" s="5">
        <v>105</v>
      </c>
      <c r="I197" s="5">
        <v>0</v>
      </c>
      <c r="J197" s="5">
        <v>6</v>
      </c>
      <c r="K197" s="6">
        <v>319</v>
      </c>
      <c r="L197" s="6">
        <f t="shared" si="25"/>
        <v>1914</v>
      </c>
      <c r="M197" s="6">
        <f t="shared" si="23"/>
        <v>344.52</v>
      </c>
      <c r="N197" s="6">
        <f t="shared" si="24"/>
        <v>2258.52</v>
      </c>
    </row>
    <row r="198" spans="2:14" ht="37.5" x14ac:dyDescent="0.25">
      <c r="B198" s="1">
        <v>43418</v>
      </c>
      <c r="C198" s="2" t="s">
        <v>32</v>
      </c>
      <c r="D198" s="3">
        <v>43418</v>
      </c>
      <c r="E198" s="4" t="s">
        <v>33</v>
      </c>
      <c r="F198" s="5" t="s">
        <v>17</v>
      </c>
      <c r="G198" s="5">
        <v>0</v>
      </c>
      <c r="H198" s="5">
        <v>3</v>
      </c>
      <c r="I198" s="5">
        <v>3</v>
      </c>
      <c r="J198" s="5">
        <f>+H198-I198</f>
        <v>0</v>
      </c>
      <c r="K198" s="6">
        <v>575</v>
      </c>
      <c r="L198" s="6">
        <f t="shared" si="25"/>
        <v>0</v>
      </c>
      <c r="M198" s="6">
        <f t="shared" si="23"/>
        <v>0</v>
      </c>
      <c r="N198" s="6">
        <f t="shared" si="24"/>
        <v>0</v>
      </c>
    </row>
    <row r="199" spans="2:14" ht="30" customHeight="1" x14ac:dyDescent="0.25">
      <c r="B199" s="1">
        <v>43418</v>
      </c>
      <c r="C199" s="2" t="s">
        <v>34</v>
      </c>
      <c r="D199" s="3">
        <v>43418</v>
      </c>
      <c r="E199" s="4" t="s">
        <v>35</v>
      </c>
      <c r="F199" s="5" t="s">
        <v>17</v>
      </c>
      <c r="G199" s="5">
        <v>0</v>
      </c>
      <c r="H199" s="5">
        <v>22</v>
      </c>
      <c r="I199" s="5">
        <v>22</v>
      </c>
      <c r="J199" s="5">
        <f>+H199-I199</f>
        <v>0</v>
      </c>
      <c r="K199" s="6">
        <v>458</v>
      </c>
      <c r="L199" s="6">
        <f t="shared" si="25"/>
        <v>0</v>
      </c>
      <c r="M199" s="6">
        <f t="shared" ref="M199:M230" si="27">L199*18%</f>
        <v>0</v>
      </c>
      <c r="N199" s="6">
        <f t="shared" ref="N199:N230" si="28">L199+M199</f>
        <v>0</v>
      </c>
    </row>
    <row r="200" spans="2:14" ht="37.5" x14ac:dyDescent="0.25">
      <c r="B200" s="13">
        <v>43418</v>
      </c>
      <c r="C200" s="14" t="s">
        <v>47</v>
      </c>
      <c r="D200" s="15">
        <v>43418</v>
      </c>
      <c r="E200" s="16" t="s">
        <v>48</v>
      </c>
      <c r="F200" s="17" t="str">
        <f>F199</f>
        <v>UNID.</v>
      </c>
      <c r="G200" s="17">
        <v>1200</v>
      </c>
      <c r="H200" s="17">
        <v>100</v>
      </c>
      <c r="I200" s="17">
        <v>18</v>
      </c>
      <c r="J200" s="17">
        <f>+H200-I200</f>
        <v>82</v>
      </c>
      <c r="K200" s="18">
        <v>192</v>
      </c>
      <c r="L200" s="18">
        <f t="shared" si="25"/>
        <v>15744</v>
      </c>
      <c r="M200" s="18">
        <f t="shared" si="27"/>
        <v>2833.92</v>
      </c>
      <c r="N200" s="18">
        <f t="shared" si="28"/>
        <v>18577.919999999998</v>
      </c>
    </row>
    <row r="201" spans="2:14" ht="56.25" x14ac:dyDescent="0.25">
      <c r="B201" s="1">
        <v>43418</v>
      </c>
      <c r="C201" s="2" t="s">
        <v>49</v>
      </c>
      <c r="D201" s="3">
        <v>43418</v>
      </c>
      <c r="E201" s="4" t="s">
        <v>50</v>
      </c>
      <c r="F201" s="5" t="s">
        <v>17</v>
      </c>
      <c r="G201" s="5">
        <v>300</v>
      </c>
      <c r="H201" s="5">
        <v>30</v>
      </c>
      <c r="I201" s="5">
        <v>0</v>
      </c>
      <c r="J201" s="5">
        <v>30</v>
      </c>
      <c r="K201" s="6">
        <v>586</v>
      </c>
      <c r="L201" s="6">
        <f t="shared" si="25"/>
        <v>17580</v>
      </c>
      <c r="M201" s="6">
        <f t="shared" si="27"/>
        <v>3164.4</v>
      </c>
      <c r="N201" s="6">
        <f t="shared" si="28"/>
        <v>20744.400000000001</v>
      </c>
    </row>
    <row r="202" spans="2:14" ht="37.5" x14ac:dyDescent="0.25">
      <c r="B202" s="7">
        <f>B198</f>
        <v>43418</v>
      </c>
      <c r="C202" s="8" t="s">
        <v>55</v>
      </c>
      <c r="D202" s="9">
        <f>D198</f>
        <v>43418</v>
      </c>
      <c r="E202" s="10" t="s">
        <v>57</v>
      </c>
      <c r="F202" s="11" t="s">
        <v>17</v>
      </c>
      <c r="G202" s="11">
        <v>0</v>
      </c>
      <c r="H202" s="11">
        <v>3</v>
      </c>
      <c r="I202" s="11">
        <v>1</v>
      </c>
      <c r="J202" s="5">
        <f>H202-I202</f>
        <v>2</v>
      </c>
      <c r="K202" s="12">
        <v>1430</v>
      </c>
      <c r="L202" s="12">
        <f t="shared" si="25"/>
        <v>2860</v>
      </c>
      <c r="M202" s="12">
        <f t="shared" si="27"/>
        <v>514.79999999999995</v>
      </c>
      <c r="N202" s="12">
        <f t="shared" si="28"/>
        <v>3374.8</v>
      </c>
    </row>
    <row r="203" spans="2:14" ht="37.5" x14ac:dyDescent="0.25">
      <c r="B203" s="13">
        <v>43418</v>
      </c>
      <c r="C203" s="14" t="s">
        <v>96</v>
      </c>
      <c r="D203" s="15">
        <v>43418</v>
      </c>
      <c r="E203" s="16" t="s">
        <v>97</v>
      </c>
      <c r="F203" s="17" t="s">
        <v>17</v>
      </c>
      <c r="G203" s="17">
        <v>7</v>
      </c>
      <c r="H203" s="17">
        <v>12</v>
      </c>
      <c r="I203" s="17">
        <v>12</v>
      </c>
      <c r="J203" s="17">
        <f>H203-I203</f>
        <v>0</v>
      </c>
      <c r="K203" s="18">
        <v>151</v>
      </c>
      <c r="L203" s="18">
        <f t="shared" ref="L203:L234" si="29">J203*K203</f>
        <v>0</v>
      </c>
      <c r="M203" s="18">
        <f t="shared" si="27"/>
        <v>0</v>
      </c>
      <c r="N203" s="18">
        <f t="shared" si="28"/>
        <v>0</v>
      </c>
    </row>
    <row r="204" spans="2:14" ht="37.5" x14ac:dyDescent="0.25">
      <c r="B204" s="13">
        <v>43418</v>
      </c>
      <c r="C204" s="14" t="s">
        <v>96</v>
      </c>
      <c r="D204" s="15">
        <v>43418</v>
      </c>
      <c r="E204" s="16" t="s">
        <v>98</v>
      </c>
      <c r="F204" s="17" t="s">
        <v>17</v>
      </c>
      <c r="G204" s="17">
        <v>0</v>
      </c>
      <c r="H204" s="17">
        <v>12</v>
      </c>
      <c r="I204" s="17">
        <v>12</v>
      </c>
      <c r="J204" s="17">
        <f>H204-I204</f>
        <v>0</v>
      </c>
      <c r="K204" s="18">
        <v>151</v>
      </c>
      <c r="L204" s="18">
        <f t="shared" si="29"/>
        <v>0</v>
      </c>
      <c r="M204" s="18">
        <f t="shared" si="27"/>
        <v>0</v>
      </c>
      <c r="N204" s="18">
        <f t="shared" si="28"/>
        <v>0</v>
      </c>
    </row>
    <row r="205" spans="2:14" ht="37.5" x14ac:dyDescent="0.25">
      <c r="B205" s="7">
        <f>B201</f>
        <v>43418</v>
      </c>
      <c r="C205" s="8" t="s">
        <v>55</v>
      </c>
      <c r="D205" s="9">
        <f>D201</f>
        <v>43418</v>
      </c>
      <c r="E205" s="10" t="s">
        <v>59</v>
      </c>
      <c r="F205" s="11" t="s">
        <v>17</v>
      </c>
      <c r="G205" s="11">
        <v>0</v>
      </c>
      <c r="H205" s="11">
        <v>3</v>
      </c>
      <c r="I205" s="11">
        <v>1</v>
      </c>
      <c r="J205" s="5">
        <v>2</v>
      </c>
      <c r="K205" s="12">
        <v>4225</v>
      </c>
      <c r="L205" s="12">
        <f t="shared" si="29"/>
        <v>8450</v>
      </c>
      <c r="M205" s="12">
        <f t="shared" si="27"/>
        <v>1521</v>
      </c>
      <c r="N205" s="12">
        <f t="shared" si="28"/>
        <v>9971</v>
      </c>
    </row>
    <row r="206" spans="2:14" ht="37.5" x14ac:dyDescent="0.3">
      <c r="B206" s="1">
        <v>43217</v>
      </c>
      <c r="C206" s="32" t="s">
        <v>212</v>
      </c>
      <c r="D206" s="3">
        <v>43217</v>
      </c>
      <c r="E206" s="53" t="s">
        <v>255</v>
      </c>
      <c r="F206" s="5" t="s">
        <v>17</v>
      </c>
      <c r="G206" s="5">
        <v>1</v>
      </c>
      <c r="H206" s="17">
        <v>1</v>
      </c>
      <c r="I206" s="17">
        <v>1</v>
      </c>
      <c r="J206" s="35">
        <f t="shared" ref="J206:J212" si="30">+H206-I206</f>
        <v>0</v>
      </c>
      <c r="K206" s="36">
        <v>3449.03</v>
      </c>
      <c r="L206" s="6">
        <f t="shared" si="29"/>
        <v>0</v>
      </c>
      <c r="M206" s="6">
        <f t="shared" si="27"/>
        <v>0</v>
      </c>
      <c r="N206" s="6">
        <f t="shared" si="28"/>
        <v>0</v>
      </c>
    </row>
    <row r="207" spans="2:14" ht="37.5" x14ac:dyDescent="0.3">
      <c r="B207" s="1">
        <v>43217</v>
      </c>
      <c r="C207" s="32" t="s">
        <v>212</v>
      </c>
      <c r="D207" s="3">
        <v>43217</v>
      </c>
      <c r="E207" s="53" t="s">
        <v>256</v>
      </c>
      <c r="F207" s="5" t="s">
        <v>17</v>
      </c>
      <c r="G207" s="5">
        <v>2</v>
      </c>
      <c r="H207" s="5">
        <v>2</v>
      </c>
      <c r="I207" s="5">
        <v>2</v>
      </c>
      <c r="J207" s="35">
        <f t="shared" si="30"/>
        <v>0</v>
      </c>
      <c r="K207" s="36">
        <v>3449.03</v>
      </c>
      <c r="L207" s="6">
        <f t="shared" si="29"/>
        <v>0</v>
      </c>
      <c r="M207" s="6">
        <f t="shared" si="27"/>
        <v>0</v>
      </c>
      <c r="N207" s="6">
        <f t="shared" si="28"/>
        <v>0</v>
      </c>
    </row>
    <row r="208" spans="2:14" ht="37.5" x14ac:dyDescent="0.3">
      <c r="B208" s="1">
        <v>43217</v>
      </c>
      <c r="C208" s="32" t="s">
        <v>212</v>
      </c>
      <c r="D208" s="3">
        <v>43217</v>
      </c>
      <c r="E208" s="53" t="s">
        <v>257</v>
      </c>
      <c r="F208" s="5" t="s">
        <v>17</v>
      </c>
      <c r="G208" s="5">
        <v>0</v>
      </c>
      <c r="H208" s="5">
        <v>0</v>
      </c>
      <c r="I208" s="5">
        <v>0</v>
      </c>
      <c r="J208" s="35">
        <f t="shared" si="30"/>
        <v>0</v>
      </c>
      <c r="K208" s="36">
        <v>3449.03</v>
      </c>
      <c r="L208" s="6">
        <f t="shared" si="29"/>
        <v>0</v>
      </c>
      <c r="M208" s="6">
        <f t="shared" si="27"/>
        <v>0</v>
      </c>
      <c r="N208" s="6">
        <f t="shared" si="28"/>
        <v>0</v>
      </c>
    </row>
    <row r="209" spans="2:14" ht="37.5" x14ac:dyDescent="0.3">
      <c r="B209" s="1">
        <v>43217</v>
      </c>
      <c r="C209" s="32" t="s">
        <v>212</v>
      </c>
      <c r="D209" s="3">
        <v>43217</v>
      </c>
      <c r="E209" s="53" t="s">
        <v>258</v>
      </c>
      <c r="F209" s="5" t="s">
        <v>17</v>
      </c>
      <c r="G209" s="5">
        <v>1</v>
      </c>
      <c r="H209" s="5">
        <v>0</v>
      </c>
      <c r="I209" s="5">
        <v>0</v>
      </c>
      <c r="J209" s="35">
        <f t="shared" si="30"/>
        <v>0</v>
      </c>
      <c r="K209" s="36">
        <v>3449.03</v>
      </c>
      <c r="L209" s="6">
        <f t="shared" si="29"/>
        <v>0</v>
      </c>
      <c r="M209" s="6">
        <f t="shared" si="27"/>
        <v>0</v>
      </c>
      <c r="N209" s="6">
        <f t="shared" si="28"/>
        <v>0</v>
      </c>
    </row>
    <row r="210" spans="2:14" ht="37.5" x14ac:dyDescent="0.3">
      <c r="B210" s="1">
        <v>43217</v>
      </c>
      <c r="C210" s="8" t="s">
        <v>212</v>
      </c>
      <c r="D210" s="3">
        <v>43217</v>
      </c>
      <c r="E210" s="54" t="s">
        <v>259</v>
      </c>
      <c r="F210" s="5" t="s">
        <v>17</v>
      </c>
      <c r="G210" s="5">
        <v>3</v>
      </c>
      <c r="H210" s="5">
        <v>3</v>
      </c>
      <c r="I210" s="5">
        <v>1</v>
      </c>
      <c r="J210" s="11">
        <f t="shared" si="30"/>
        <v>2</v>
      </c>
      <c r="K210" s="12">
        <v>3449.03</v>
      </c>
      <c r="L210" s="6">
        <f t="shared" si="29"/>
        <v>6898.06</v>
      </c>
      <c r="M210" s="6">
        <f t="shared" si="27"/>
        <v>1241.6508000000001</v>
      </c>
      <c r="N210" s="6">
        <f t="shared" si="28"/>
        <v>8139.7108000000007</v>
      </c>
    </row>
    <row r="211" spans="2:14" ht="37.5" x14ac:dyDescent="0.3">
      <c r="B211" s="1">
        <v>43217</v>
      </c>
      <c r="C211" s="32" t="s">
        <v>212</v>
      </c>
      <c r="D211" s="3">
        <v>43217</v>
      </c>
      <c r="E211" s="53" t="s">
        <v>260</v>
      </c>
      <c r="F211" s="5" t="s">
        <v>17</v>
      </c>
      <c r="G211" s="5">
        <v>0</v>
      </c>
      <c r="H211" s="5">
        <v>0</v>
      </c>
      <c r="I211" s="5">
        <v>0</v>
      </c>
      <c r="J211" s="35">
        <f t="shared" si="30"/>
        <v>0</v>
      </c>
      <c r="K211" s="36">
        <v>3449.03</v>
      </c>
      <c r="L211" s="6">
        <f t="shared" si="29"/>
        <v>0</v>
      </c>
      <c r="M211" s="6">
        <f t="shared" si="27"/>
        <v>0</v>
      </c>
      <c r="N211" s="6">
        <f t="shared" si="28"/>
        <v>0</v>
      </c>
    </row>
    <row r="212" spans="2:14" ht="37.5" x14ac:dyDescent="0.3">
      <c r="B212" s="19">
        <v>43217</v>
      </c>
      <c r="C212" s="20" t="s">
        <v>212</v>
      </c>
      <c r="D212" s="21">
        <v>43217</v>
      </c>
      <c r="E212" s="55" t="s">
        <v>261</v>
      </c>
      <c r="F212" s="23" t="s">
        <v>17</v>
      </c>
      <c r="G212" s="23">
        <v>4</v>
      </c>
      <c r="H212" s="23">
        <v>4</v>
      </c>
      <c r="I212" s="23">
        <v>0</v>
      </c>
      <c r="J212" s="23">
        <f t="shared" si="30"/>
        <v>4</v>
      </c>
      <c r="K212" s="24">
        <v>3449.03</v>
      </c>
      <c r="L212" s="24">
        <f t="shared" si="29"/>
        <v>13796.12</v>
      </c>
      <c r="M212" s="24">
        <f t="shared" si="27"/>
        <v>2483.3016000000002</v>
      </c>
      <c r="N212" s="24">
        <f t="shared" si="28"/>
        <v>16279.421600000001</v>
      </c>
    </row>
    <row r="213" spans="2:14" s="77" customFormat="1" ht="29.25" customHeight="1" x14ac:dyDescent="0.25">
      <c r="B213" s="25">
        <f>B210</f>
        <v>43217</v>
      </c>
      <c r="C213" s="26" t="s">
        <v>151</v>
      </c>
      <c r="D213" s="27">
        <f>D210</f>
        <v>43217</v>
      </c>
      <c r="E213" s="28" t="s">
        <v>157</v>
      </c>
      <c r="F213" s="29" t="str">
        <f>F210</f>
        <v>UNID.</v>
      </c>
      <c r="G213" s="29">
        <v>1</v>
      </c>
      <c r="H213" s="29">
        <v>10</v>
      </c>
      <c r="I213" s="29">
        <f>2+2</f>
        <v>4</v>
      </c>
      <c r="J213" s="29">
        <f>H213-I213</f>
        <v>6</v>
      </c>
      <c r="K213" s="29">
        <v>130</v>
      </c>
      <c r="L213" s="30">
        <f t="shared" si="29"/>
        <v>780</v>
      </c>
      <c r="M213" s="30">
        <f t="shared" si="27"/>
        <v>140.4</v>
      </c>
      <c r="N213" s="30">
        <f t="shared" si="28"/>
        <v>920.4</v>
      </c>
    </row>
    <row r="214" spans="2:14" ht="28.5" customHeight="1" x14ac:dyDescent="0.25">
      <c r="B214" s="19">
        <f>B210</f>
        <v>43217</v>
      </c>
      <c r="C214" s="20" t="s">
        <v>151</v>
      </c>
      <c r="D214" s="21">
        <f>D210</f>
        <v>43217</v>
      </c>
      <c r="E214" s="22" t="s">
        <v>158</v>
      </c>
      <c r="F214" s="23" t="str">
        <f>F210</f>
        <v>UNID.</v>
      </c>
      <c r="G214" s="23">
        <v>3</v>
      </c>
      <c r="H214" s="23">
        <v>18</v>
      </c>
      <c r="I214" s="23">
        <v>2</v>
      </c>
      <c r="J214" s="23">
        <f>H214-I214</f>
        <v>16</v>
      </c>
      <c r="K214" s="23">
        <v>350</v>
      </c>
      <c r="L214" s="24">
        <f t="shared" si="29"/>
        <v>5600</v>
      </c>
      <c r="M214" s="24">
        <f t="shared" si="27"/>
        <v>1008</v>
      </c>
      <c r="N214" s="24">
        <f t="shared" si="28"/>
        <v>6608</v>
      </c>
    </row>
    <row r="215" spans="2:14" ht="29.25" customHeight="1" x14ac:dyDescent="0.25">
      <c r="B215" s="19">
        <f>B214</f>
        <v>43217</v>
      </c>
      <c r="C215" s="20" t="s">
        <v>151</v>
      </c>
      <c r="D215" s="21">
        <f>D214</f>
        <v>43217</v>
      </c>
      <c r="E215" s="22" t="s">
        <v>159</v>
      </c>
      <c r="F215" s="23" t="str">
        <f>F214</f>
        <v>UNID.</v>
      </c>
      <c r="G215" s="23">
        <v>2</v>
      </c>
      <c r="H215" s="23">
        <v>2</v>
      </c>
      <c r="I215" s="23">
        <v>1</v>
      </c>
      <c r="J215" s="23">
        <f>H215-I215</f>
        <v>1</v>
      </c>
      <c r="K215" s="23">
        <v>350</v>
      </c>
      <c r="L215" s="24">
        <f t="shared" si="29"/>
        <v>350</v>
      </c>
      <c r="M215" s="24">
        <f t="shared" si="27"/>
        <v>63</v>
      </c>
      <c r="N215" s="24">
        <f t="shared" si="28"/>
        <v>413</v>
      </c>
    </row>
    <row r="216" spans="2:14" ht="28.5" customHeight="1" x14ac:dyDescent="0.25">
      <c r="B216" s="25">
        <f>B215</f>
        <v>43217</v>
      </c>
      <c r="C216" s="26" t="s">
        <v>151</v>
      </c>
      <c r="D216" s="27">
        <f>D215</f>
        <v>43217</v>
      </c>
      <c r="E216" s="28" t="s">
        <v>160</v>
      </c>
      <c r="F216" s="29" t="str">
        <f>F215</f>
        <v>UNID.</v>
      </c>
      <c r="G216" s="29">
        <v>2</v>
      </c>
      <c r="H216" s="29">
        <v>5</v>
      </c>
      <c r="I216" s="29">
        <v>4</v>
      </c>
      <c r="J216" s="29">
        <f>H216-I216</f>
        <v>1</v>
      </c>
      <c r="K216" s="29">
        <v>350</v>
      </c>
      <c r="L216" s="24">
        <f t="shared" si="29"/>
        <v>350</v>
      </c>
      <c r="M216" s="24">
        <f t="shared" si="27"/>
        <v>63</v>
      </c>
      <c r="N216" s="24">
        <f t="shared" si="28"/>
        <v>413</v>
      </c>
    </row>
    <row r="217" spans="2:14" ht="29.25" customHeight="1" x14ac:dyDescent="0.25">
      <c r="B217" s="7">
        <f>B214</f>
        <v>43217</v>
      </c>
      <c r="C217" s="8" t="s">
        <v>151</v>
      </c>
      <c r="D217" s="9">
        <f>D214</f>
        <v>43217</v>
      </c>
      <c r="E217" s="10" t="s">
        <v>161</v>
      </c>
      <c r="F217" s="11" t="str">
        <f>F214</f>
        <v>UNID.</v>
      </c>
      <c r="G217" s="11">
        <v>2</v>
      </c>
      <c r="H217" s="11">
        <v>3</v>
      </c>
      <c r="I217" s="11">
        <v>1</v>
      </c>
      <c r="J217" s="11">
        <f>H217-I217</f>
        <v>2</v>
      </c>
      <c r="K217" s="11">
        <v>95</v>
      </c>
      <c r="L217" s="12">
        <f t="shared" si="29"/>
        <v>190</v>
      </c>
      <c r="M217" s="12">
        <f t="shared" si="27"/>
        <v>34.199999999999996</v>
      </c>
      <c r="N217" s="12">
        <f t="shared" si="28"/>
        <v>224.2</v>
      </c>
    </row>
    <row r="218" spans="2:14" ht="56.25" x14ac:dyDescent="0.25">
      <c r="B218" s="1">
        <v>43053</v>
      </c>
      <c r="C218" s="2" t="s">
        <v>45</v>
      </c>
      <c r="D218" s="3">
        <v>43053</v>
      </c>
      <c r="E218" s="4" t="s">
        <v>46</v>
      </c>
      <c r="F218" s="5" t="s">
        <v>29</v>
      </c>
      <c r="G218" s="5">
        <v>4</v>
      </c>
      <c r="H218" s="5">
        <v>30</v>
      </c>
      <c r="I218" s="5">
        <v>0</v>
      </c>
      <c r="J218" s="5">
        <f>+H218-I218</f>
        <v>30</v>
      </c>
      <c r="K218" s="6">
        <v>720</v>
      </c>
      <c r="L218" s="6">
        <f t="shared" si="29"/>
        <v>21600</v>
      </c>
      <c r="M218" s="6">
        <f t="shared" si="27"/>
        <v>3888</v>
      </c>
      <c r="N218" s="6">
        <f t="shared" si="28"/>
        <v>25488</v>
      </c>
    </row>
    <row r="219" spans="2:14" ht="29.25" customHeight="1" x14ac:dyDescent="0.25">
      <c r="B219" s="1">
        <v>43050</v>
      </c>
      <c r="C219" s="2" t="s">
        <v>151</v>
      </c>
      <c r="D219" s="3">
        <v>43050</v>
      </c>
      <c r="E219" s="4" t="s">
        <v>152</v>
      </c>
      <c r="F219" s="5" t="s">
        <v>17</v>
      </c>
      <c r="G219" s="5">
        <v>1</v>
      </c>
      <c r="H219" s="5">
        <v>7</v>
      </c>
      <c r="I219" s="5">
        <v>7</v>
      </c>
      <c r="J219" s="11">
        <f t="shared" ref="J219:J226" si="31">H219-I219</f>
        <v>0</v>
      </c>
      <c r="K219" s="6">
        <v>6</v>
      </c>
      <c r="L219" s="6">
        <f t="shared" si="29"/>
        <v>0</v>
      </c>
      <c r="M219" s="6">
        <f t="shared" si="27"/>
        <v>0</v>
      </c>
      <c r="N219" s="6">
        <f t="shared" si="28"/>
        <v>0</v>
      </c>
    </row>
    <row r="220" spans="2:14" ht="28.5" customHeight="1" x14ac:dyDescent="0.25">
      <c r="B220" s="7">
        <f>B219</f>
        <v>43050</v>
      </c>
      <c r="C220" s="8" t="s">
        <v>151</v>
      </c>
      <c r="D220" s="9">
        <f>D219</f>
        <v>43050</v>
      </c>
      <c r="E220" s="10" t="s">
        <v>153</v>
      </c>
      <c r="F220" s="11" t="str">
        <f>F219</f>
        <v>UNID.</v>
      </c>
      <c r="G220" s="11">
        <v>8</v>
      </c>
      <c r="H220" s="11">
        <v>8</v>
      </c>
      <c r="I220" s="11">
        <v>6</v>
      </c>
      <c r="J220" s="11">
        <f t="shared" si="31"/>
        <v>2</v>
      </c>
      <c r="K220" s="11">
        <f>I220-J220</f>
        <v>4</v>
      </c>
      <c r="L220" s="6">
        <f t="shared" si="29"/>
        <v>8</v>
      </c>
      <c r="M220" s="6">
        <f t="shared" si="27"/>
        <v>1.44</v>
      </c>
      <c r="N220" s="6">
        <f t="shared" si="28"/>
        <v>9.44</v>
      </c>
    </row>
    <row r="221" spans="2:14" ht="37.5" x14ac:dyDescent="0.25">
      <c r="B221" s="1">
        <v>43049</v>
      </c>
      <c r="C221" s="2" t="s">
        <v>148</v>
      </c>
      <c r="D221" s="3">
        <v>43049</v>
      </c>
      <c r="E221" s="4" t="s">
        <v>149</v>
      </c>
      <c r="F221" s="5" t="s">
        <v>17</v>
      </c>
      <c r="G221" s="5">
        <v>10</v>
      </c>
      <c r="H221" s="5">
        <v>40</v>
      </c>
      <c r="I221" s="5">
        <v>40</v>
      </c>
      <c r="J221" s="5">
        <f t="shared" si="31"/>
        <v>0</v>
      </c>
      <c r="K221" s="6">
        <v>55.45</v>
      </c>
      <c r="L221" s="6">
        <f t="shared" si="29"/>
        <v>0</v>
      </c>
      <c r="M221" s="6">
        <f t="shared" si="27"/>
        <v>0</v>
      </c>
      <c r="N221" s="6">
        <f t="shared" si="28"/>
        <v>0</v>
      </c>
    </row>
    <row r="222" spans="2:14" ht="25.5" customHeight="1" x14ac:dyDescent="0.25">
      <c r="B222" s="7">
        <f>B221</f>
        <v>43049</v>
      </c>
      <c r="C222" s="8" t="s">
        <v>148</v>
      </c>
      <c r="D222" s="9">
        <f>D221</f>
        <v>43049</v>
      </c>
      <c r="E222" s="10" t="s">
        <v>150</v>
      </c>
      <c r="F222" s="11" t="str">
        <f>F221</f>
        <v>UNID.</v>
      </c>
      <c r="G222" s="11">
        <v>3</v>
      </c>
      <c r="H222" s="11">
        <v>8</v>
      </c>
      <c r="I222" s="11">
        <v>7</v>
      </c>
      <c r="J222" s="11">
        <f t="shared" si="31"/>
        <v>1</v>
      </c>
      <c r="K222" s="12">
        <v>48</v>
      </c>
      <c r="L222" s="12">
        <f t="shared" si="29"/>
        <v>48</v>
      </c>
      <c r="M222" s="12">
        <f t="shared" si="27"/>
        <v>8.64</v>
      </c>
      <c r="N222" s="12">
        <f t="shared" si="28"/>
        <v>56.64</v>
      </c>
    </row>
    <row r="223" spans="2:14" ht="37.5" x14ac:dyDescent="0.25">
      <c r="B223" s="1">
        <v>43048</v>
      </c>
      <c r="C223" s="2" t="s">
        <v>66</v>
      </c>
      <c r="D223" s="3">
        <v>43048</v>
      </c>
      <c r="E223" s="4" t="s">
        <v>135</v>
      </c>
      <c r="F223" s="5" t="s">
        <v>17</v>
      </c>
      <c r="G223" s="5">
        <v>3</v>
      </c>
      <c r="H223" s="5">
        <v>11</v>
      </c>
      <c r="I223" s="5">
        <v>11</v>
      </c>
      <c r="J223" s="5">
        <f t="shared" si="31"/>
        <v>0</v>
      </c>
      <c r="K223" s="24">
        <v>134</v>
      </c>
      <c r="L223" s="6">
        <f t="shared" si="29"/>
        <v>0</v>
      </c>
      <c r="M223" s="6">
        <f t="shared" si="27"/>
        <v>0</v>
      </c>
      <c r="N223" s="6">
        <f t="shared" si="28"/>
        <v>0</v>
      </c>
    </row>
    <row r="224" spans="2:14" ht="37.5" x14ac:dyDescent="0.25">
      <c r="B224" s="1">
        <v>43048</v>
      </c>
      <c r="C224" s="2" t="s">
        <v>136</v>
      </c>
      <c r="D224" s="3">
        <v>43048</v>
      </c>
      <c r="E224" s="4" t="s">
        <v>137</v>
      </c>
      <c r="F224" s="5" t="s">
        <v>17</v>
      </c>
      <c r="G224" s="5">
        <v>4</v>
      </c>
      <c r="H224" s="5">
        <v>10</v>
      </c>
      <c r="I224" s="5">
        <v>10</v>
      </c>
      <c r="J224" s="5">
        <f t="shared" si="31"/>
        <v>0</v>
      </c>
      <c r="K224" s="6">
        <v>254</v>
      </c>
      <c r="L224" s="6">
        <f t="shared" si="29"/>
        <v>0</v>
      </c>
      <c r="M224" s="6">
        <f t="shared" si="27"/>
        <v>0</v>
      </c>
      <c r="N224" s="6">
        <f t="shared" si="28"/>
        <v>0</v>
      </c>
    </row>
    <row r="225" spans="2:14" ht="37.5" x14ac:dyDescent="0.25">
      <c r="B225" s="13">
        <v>43048</v>
      </c>
      <c r="C225" s="14" t="s">
        <v>21</v>
      </c>
      <c r="D225" s="15">
        <v>43048</v>
      </c>
      <c r="E225" s="16" t="s">
        <v>147</v>
      </c>
      <c r="F225" s="17" t="s">
        <v>17</v>
      </c>
      <c r="G225" s="17">
        <v>41</v>
      </c>
      <c r="H225" s="17">
        <v>61</v>
      </c>
      <c r="I225" s="17">
        <f>34+1+1</f>
        <v>36</v>
      </c>
      <c r="J225" s="17">
        <f t="shared" si="31"/>
        <v>25</v>
      </c>
      <c r="K225" s="18">
        <v>25</v>
      </c>
      <c r="L225" s="18">
        <f t="shared" si="29"/>
        <v>625</v>
      </c>
      <c r="M225" s="18">
        <f t="shared" si="27"/>
        <v>112.5</v>
      </c>
      <c r="N225" s="18">
        <f t="shared" si="28"/>
        <v>737.5</v>
      </c>
    </row>
    <row r="226" spans="2:14" ht="37.5" x14ac:dyDescent="0.25">
      <c r="B226" s="1">
        <v>43047</v>
      </c>
      <c r="C226" s="2" t="s">
        <v>133</v>
      </c>
      <c r="D226" s="3">
        <v>43047</v>
      </c>
      <c r="E226" s="4" t="s">
        <v>134</v>
      </c>
      <c r="F226" s="5" t="s">
        <v>17</v>
      </c>
      <c r="G226" s="5">
        <v>14</v>
      </c>
      <c r="H226" s="5">
        <v>20</v>
      </c>
      <c r="I226" s="5">
        <v>11</v>
      </c>
      <c r="J226" s="5">
        <f t="shared" si="31"/>
        <v>9</v>
      </c>
      <c r="K226" s="6">
        <v>55.82</v>
      </c>
      <c r="L226" s="6">
        <f t="shared" si="29"/>
        <v>502.38</v>
      </c>
      <c r="M226" s="6">
        <f t="shared" si="27"/>
        <v>90.428399999999996</v>
      </c>
      <c r="N226" s="6">
        <f t="shared" si="28"/>
        <v>592.80840000000001</v>
      </c>
    </row>
    <row r="227" spans="2:14" s="95" customFormat="1" ht="37.5" x14ac:dyDescent="0.25">
      <c r="B227" s="96">
        <v>43047</v>
      </c>
      <c r="C227" s="90" t="s">
        <v>23</v>
      </c>
      <c r="D227" s="91">
        <v>43047</v>
      </c>
      <c r="E227" s="92" t="s">
        <v>276</v>
      </c>
      <c r="F227" s="93" t="s">
        <v>17</v>
      </c>
      <c r="G227" s="93">
        <v>15</v>
      </c>
      <c r="H227" s="93">
        <v>25</v>
      </c>
      <c r="I227" s="93">
        <f>16+2+10</f>
        <v>28</v>
      </c>
      <c r="J227" s="93">
        <f>H227-I227+G227</f>
        <v>12</v>
      </c>
      <c r="K227" s="94">
        <v>60</v>
      </c>
      <c r="L227" s="94">
        <f t="shared" si="29"/>
        <v>720</v>
      </c>
      <c r="M227" s="94">
        <f t="shared" si="27"/>
        <v>129.6</v>
      </c>
      <c r="N227" s="94">
        <f t="shared" si="28"/>
        <v>849.6</v>
      </c>
    </row>
    <row r="228" spans="2:14" ht="28.5" customHeight="1" x14ac:dyDescent="0.25">
      <c r="B228" s="1">
        <v>43013</v>
      </c>
      <c r="C228" s="2" t="s">
        <v>62</v>
      </c>
      <c r="D228" s="3">
        <v>43013</v>
      </c>
      <c r="E228" s="4" t="s">
        <v>118</v>
      </c>
      <c r="F228" s="5" t="s">
        <v>17</v>
      </c>
      <c r="G228" s="5">
        <v>6</v>
      </c>
      <c r="H228" s="5">
        <v>12</v>
      </c>
      <c r="I228" s="5">
        <v>11</v>
      </c>
      <c r="J228" s="5">
        <f>H228-I228</f>
        <v>1</v>
      </c>
      <c r="K228" s="6">
        <v>225</v>
      </c>
      <c r="L228" s="6">
        <f t="shared" si="29"/>
        <v>225</v>
      </c>
      <c r="M228" s="6">
        <f t="shared" si="27"/>
        <v>40.5</v>
      </c>
      <c r="N228" s="6">
        <f t="shared" si="28"/>
        <v>265.5</v>
      </c>
    </row>
    <row r="229" spans="2:14" ht="35.25" customHeight="1" x14ac:dyDescent="0.25">
      <c r="B229" s="1">
        <v>43012</v>
      </c>
      <c r="C229" s="2" t="s">
        <v>55</v>
      </c>
      <c r="D229" s="3">
        <v>43012</v>
      </c>
      <c r="E229" s="4" t="s">
        <v>117</v>
      </c>
      <c r="F229" s="5" t="s">
        <v>17</v>
      </c>
      <c r="G229" s="5">
        <v>9</v>
      </c>
      <c r="H229" s="5">
        <v>11</v>
      </c>
      <c r="I229" s="5">
        <v>6</v>
      </c>
      <c r="J229" s="5">
        <f>H229-I229</f>
        <v>5</v>
      </c>
      <c r="K229" s="6">
        <v>45</v>
      </c>
      <c r="L229" s="6">
        <f t="shared" si="29"/>
        <v>225</v>
      </c>
      <c r="M229" s="6">
        <f t="shared" si="27"/>
        <v>40.5</v>
      </c>
      <c r="N229" s="6">
        <f t="shared" si="28"/>
        <v>265.5</v>
      </c>
    </row>
    <row r="230" spans="2:14" ht="37.5" x14ac:dyDescent="0.25">
      <c r="B230" s="13">
        <v>43011</v>
      </c>
      <c r="C230" s="14" t="s">
        <v>121</v>
      </c>
      <c r="D230" s="15">
        <v>43012</v>
      </c>
      <c r="E230" s="16" t="s">
        <v>122</v>
      </c>
      <c r="F230" s="17" t="s">
        <v>17</v>
      </c>
      <c r="G230" s="17">
        <v>10</v>
      </c>
      <c r="H230" s="17">
        <v>24</v>
      </c>
      <c r="I230" s="17">
        <v>17</v>
      </c>
      <c r="J230" s="17">
        <f>H230-I230</f>
        <v>7</v>
      </c>
      <c r="K230" s="18">
        <v>55</v>
      </c>
      <c r="L230" s="18">
        <f t="shared" si="29"/>
        <v>385</v>
      </c>
      <c r="M230" s="18">
        <f t="shared" si="27"/>
        <v>69.3</v>
      </c>
      <c r="N230" s="18">
        <f t="shared" si="28"/>
        <v>454.3</v>
      </c>
    </row>
    <row r="231" spans="2:14" ht="37.5" x14ac:dyDescent="0.25">
      <c r="B231" s="7">
        <v>43011</v>
      </c>
      <c r="C231" s="8" t="s">
        <v>38</v>
      </c>
      <c r="D231" s="9">
        <v>43011</v>
      </c>
      <c r="E231" s="10" t="s">
        <v>39</v>
      </c>
      <c r="F231" s="11" t="s">
        <v>17</v>
      </c>
      <c r="G231" s="11">
        <v>0</v>
      </c>
      <c r="H231" s="11">
        <v>100</v>
      </c>
      <c r="I231" s="11">
        <f>92+4+2+1+1</f>
        <v>100</v>
      </c>
      <c r="J231" s="5">
        <v>0</v>
      </c>
      <c r="K231" s="12">
        <v>45</v>
      </c>
      <c r="L231" s="12">
        <f t="shared" si="29"/>
        <v>0</v>
      </c>
      <c r="M231" s="12">
        <f t="shared" ref="M231:M240" si="32">L231*18%</f>
        <v>0</v>
      </c>
      <c r="N231" s="12">
        <f t="shared" ref="N231:N240" si="33">L231+M231</f>
        <v>0</v>
      </c>
    </row>
    <row r="232" spans="2:14" ht="37.5" x14ac:dyDescent="0.25">
      <c r="B232" s="13">
        <v>43011</v>
      </c>
      <c r="C232" s="14" t="s">
        <v>101</v>
      </c>
      <c r="D232" s="15">
        <v>43011</v>
      </c>
      <c r="E232" s="16" t="s">
        <v>102</v>
      </c>
      <c r="F232" s="17" t="s">
        <v>17</v>
      </c>
      <c r="G232" s="17">
        <v>1</v>
      </c>
      <c r="H232" s="17">
        <v>4</v>
      </c>
      <c r="I232" s="17">
        <v>5</v>
      </c>
      <c r="J232" s="17">
        <v>1</v>
      </c>
      <c r="K232" s="18">
        <v>350</v>
      </c>
      <c r="L232" s="18">
        <f t="shared" si="29"/>
        <v>350</v>
      </c>
      <c r="M232" s="18">
        <f t="shared" si="32"/>
        <v>63</v>
      </c>
      <c r="N232" s="18">
        <f t="shared" si="33"/>
        <v>413</v>
      </c>
    </row>
    <row r="233" spans="2:14" ht="25.5" customHeight="1" x14ac:dyDescent="0.25">
      <c r="B233" s="1">
        <v>43011</v>
      </c>
      <c r="C233" s="2" t="s">
        <v>119</v>
      </c>
      <c r="D233" s="3">
        <v>43011</v>
      </c>
      <c r="E233" s="4" t="s">
        <v>120</v>
      </c>
      <c r="F233" s="5" t="s">
        <v>17</v>
      </c>
      <c r="G233" s="5">
        <v>2</v>
      </c>
      <c r="H233" s="5">
        <v>11</v>
      </c>
      <c r="I233" s="5">
        <v>0</v>
      </c>
      <c r="J233" s="5">
        <f>H233-I233</f>
        <v>11</v>
      </c>
      <c r="K233" s="6">
        <v>260</v>
      </c>
      <c r="L233" s="6">
        <f t="shared" si="29"/>
        <v>2860</v>
      </c>
      <c r="M233" s="6">
        <f t="shared" si="32"/>
        <v>514.79999999999995</v>
      </c>
      <c r="N233" s="6">
        <f t="shared" si="33"/>
        <v>3374.8</v>
      </c>
    </row>
    <row r="234" spans="2:14" ht="30.75" customHeight="1" x14ac:dyDescent="0.25">
      <c r="B234" s="1">
        <v>43011</v>
      </c>
      <c r="C234" s="2" t="s">
        <v>62</v>
      </c>
      <c r="D234" s="3">
        <v>43011</v>
      </c>
      <c r="E234" s="4" t="s">
        <v>128</v>
      </c>
      <c r="F234" s="5" t="s">
        <v>29</v>
      </c>
      <c r="G234" s="5">
        <v>21</v>
      </c>
      <c r="H234" s="5">
        <v>21</v>
      </c>
      <c r="I234" s="5">
        <v>16</v>
      </c>
      <c r="J234" s="5">
        <f>H234-I234</f>
        <v>5</v>
      </c>
      <c r="K234" s="12">
        <v>0</v>
      </c>
      <c r="L234" s="6">
        <f t="shared" si="29"/>
        <v>0</v>
      </c>
      <c r="M234" s="6">
        <f t="shared" si="32"/>
        <v>0</v>
      </c>
      <c r="N234" s="6">
        <f t="shared" si="33"/>
        <v>0</v>
      </c>
    </row>
    <row r="235" spans="2:14" ht="37.5" x14ac:dyDescent="0.25">
      <c r="B235" s="1">
        <v>43011</v>
      </c>
      <c r="C235" s="2" t="s">
        <v>187</v>
      </c>
      <c r="D235" s="3">
        <v>43011</v>
      </c>
      <c r="E235" s="4" t="s">
        <v>188</v>
      </c>
      <c r="F235" s="5" t="s">
        <v>17</v>
      </c>
      <c r="G235" s="5">
        <v>0</v>
      </c>
      <c r="H235" s="5">
        <v>4</v>
      </c>
      <c r="I235" s="5">
        <v>4</v>
      </c>
      <c r="J235" s="5">
        <f>H235-I235</f>
        <v>0</v>
      </c>
      <c r="K235" s="6">
        <v>1364</v>
      </c>
      <c r="L235" s="6">
        <f t="shared" ref="L235:L240" si="34">J235*K235</f>
        <v>0</v>
      </c>
      <c r="M235" s="6">
        <f t="shared" si="32"/>
        <v>0</v>
      </c>
      <c r="N235" s="6">
        <f t="shared" si="33"/>
        <v>0</v>
      </c>
    </row>
    <row r="236" spans="2:14" ht="32.25" customHeight="1" x14ac:dyDescent="0.25">
      <c r="B236" s="1">
        <v>42958</v>
      </c>
      <c r="C236" s="2" t="s">
        <v>40</v>
      </c>
      <c r="D236" s="3">
        <v>42958</v>
      </c>
      <c r="E236" s="4" t="s">
        <v>41</v>
      </c>
      <c r="F236" s="5" t="s">
        <v>17</v>
      </c>
      <c r="G236" s="5">
        <v>46</v>
      </c>
      <c r="H236" s="5">
        <v>107</v>
      </c>
      <c r="I236" s="5">
        <v>20</v>
      </c>
      <c r="J236" s="5">
        <f>+H236-I236</f>
        <v>87</v>
      </c>
      <c r="K236" s="6">
        <v>26</v>
      </c>
      <c r="L236" s="6">
        <f t="shared" si="34"/>
        <v>2262</v>
      </c>
      <c r="M236" s="6">
        <f t="shared" si="32"/>
        <v>407.15999999999997</v>
      </c>
      <c r="N236" s="6">
        <f t="shared" si="33"/>
        <v>2669.16</v>
      </c>
    </row>
    <row r="237" spans="2:14" ht="24.75" customHeight="1" x14ac:dyDescent="0.25">
      <c r="B237" s="1">
        <v>42958</v>
      </c>
      <c r="C237" s="2" t="s">
        <v>86</v>
      </c>
      <c r="D237" s="3">
        <v>42958</v>
      </c>
      <c r="E237" s="4" t="s">
        <v>87</v>
      </c>
      <c r="F237" s="5" t="s">
        <v>71</v>
      </c>
      <c r="G237" s="5">
        <v>1</v>
      </c>
      <c r="H237" s="5">
        <v>4</v>
      </c>
      <c r="I237" s="5">
        <v>3</v>
      </c>
      <c r="J237" s="5">
        <f>H237-I237</f>
        <v>1</v>
      </c>
      <c r="K237" s="6">
        <v>1015</v>
      </c>
      <c r="L237" s="6">
        <f t="shared" si="34"/>
        <v>1015</v>
      </c>
      <c r="M237" s="6">
        <f t="shared" si="32"/>
        <v>182.7</v>
      </c>
      <c r="N237" s="6">
        <f t="shared" si="33"/>
        <v>1197.7</v>
      </c>
    </row>
    <row r="238" spans="2:14" ht="32.25" customHeight="1" x14ac:dyDescent="0.25">
      <c r="B238" s="1">
        <v>42958</v>
      </c>
      <c r="C238" s="2" t="s">
        <v>92</v>
      </c>
      <c r="D238" s="3">
        <v>42958</v>
      </c>
      <c r="E238" s="4" t="s">
        <v>93</v>
      </c>
      <c r="F238" s="5" t="s">
        <v>17</v>
      </c>
      <c r="G238" s="5">
        <v>0</v>
      </c>
      <c r="H238" s="5">
        <v>2</v>
      </c>
      <c r="I238" s="5">
        <v>2</v>
      </c>
      <c r="J238" s="5">
        <f>H238-I238</f>
        <v>0</v>
      </c>
      <c r="K238" s="6">
        <v>6395</v>
      </c>
      <c r="L238" s="6">
        <f t="shared" si="34"/>
        <v>0</v>
      </c>
      <c r="M238" s="6">
        <f t="shared" si="32"/>
        <v>0</v>
      </c>
      <c r="N238" s="6">
        <f t="shared" si="33"/>
        <v>0</v>
      </c>
    </row>
    <row r="239" spans="2:14" ht="27" customHeight="1" x14ac:dyDescent="0.25">
      <c r="B239" s="1">
        <v>42958</v>
      </c>
      <c r="C239" s="2" t="s">
        <v>94</v>
      </c>
      <c r="D239" s="3">
        <v>42958</v>
      </c>
      <c r="E239" s="4" t="s">
        <v>95</v>
      </c>
      <c r="F239" s="5" t="s">
        <v>17</v>
      </c>
      <c r="G239" s="5">
        <v>2</v>
      </c>
      <c r="H239" s="5">
        <v>12</v>
      </c>
      <c r="I239" s="5">
        <v>12</v>
      </c>
      <c r="J239" s="5">
        <f>H239-I239</f>
        <v>0</v>
      </c>
      <c r="K239" s="6">
        <v>390</v>
      </c>
      <c r="L239" s="6">
        <f t="shared" si="34"/>
        <v>0</v>
      </c>
      <c r="M239" s="6">
        <f t="shared" si="32"/>
        <v>0</v>
      </c>
      <c r="N239" s="6">
        <f t="shared" si="33"/>
        <v>0</v>
      </c>
    </row>
    <row r="240" spans="2:14" ht="18.75" x14ac:dyDescent="0.25">
      <c r="B240" s="1">
        <v>42958</v>
      </c>
      <c r="C240" s="2" t="s">
        <v>99</v>
      </c>
      <c r="D240" s="3">
        <v>42958</v>
      </c>
      <c r="E240" s="4" t="s">
        <v>100</v>
      </c>
      <c r="F240" s="5" t="s">
        <v>17</v>
      </c>
      <c r="G240" s="5">
        <v>5</v>
      </c>
      <c r="H240" s="5">
        <v>25</v>
      </c>
      <c r="I240" s="5">
        <v>15</v>
      </c>
      <c r="J240" s="5">
        <f>H240-I240</f>
        <v>10</v>
      </c>
      <c r="K240" s="6">
        <v>33</v>
      </c>
      <c r="L240" s="6">
        <f t="shared" si="34"/>
        <v>330</v>
      </c>
      <c r="M240" s="6">
        <f t="shared" si="32"/>
        <v>59.4</v>
      </c>
      <c r="N240" s="6">
        <f t="shared" si="33"/>
        <v>389.4</v>
      </c>
    </row>
    <row r="241" spans="2:14" ht="18" x14ac:dyDescent="0.25">
      <c r="B241" s="39"/>
      <c r="C241" s="40"/>
      <c r="D241" s="41"/>
      <c r="E241" s="42" t="s">
        <v>359</v>
      </c>
      <c r="F241" s="40"/>
      <c r="G241" s="40"/>
      <c r="H241" s="40"/>
      <c r="I241" s="40"/>
      <c r="J241" s="40"/>
      <c r="K241" s="40"/>
      <c r="L241" s="40"/>
      <c r="M241" s="40"/>
      <c r="N241" s="43">
        <f>SUM(N15:N240)</f>
        <v>1271610.5627799996</v>
      </c>
    </row>
    <row r="248" spans="2:14" ht="18.75" x14ac:dyDescent="0.3">
      <c r="C248" s="63"/>
      <c r="D248" s="64"/>
      <c r="E248" s="65" t="s">
        <v>367</v>
      </c>
      <c r="F248" s="65"/>
      <c r="G248" s="66"/>
      <c r="H248" s="66"/>
      <c r="I248" s="66"/>
      <c r="J248" s="66"/>
      <c r="K248" s="66"/>
    </row>
    <row r="249" spans="2:14" ht="18.75" x14ac:dyDescent="0.3">
      <c r="C249" s="63"/>
      <c r="D249" s="64"/>
      <c r="E249" s="67"/>
      <c r="F249" s="67"/>
      <c r="G249" s="66"/>
      <c r="H249" s="66"/>
      <c r="I249" s="66"/>
      <c r="J249" s="66"/>
      <c r="K249" s="66"/>
    </row>
    <row r="250" spans="2:14" ht="18.75" x14ac:dyDescent="0.3">
      <c r="C250" s="63"/>
      <c r="D250" s="64"/>
      <c r="E250" s="65" t="s">
        <v>368</v>
      </c>
      <c r="F250" s="65"/>
      <c r="G250" s="66"/>
      <c r="H250" s="66"/>
      <c r="I250" s="66"/>
      <c r="J250" s="66"/>
      <c r="K250" s="66"/>
    </row>
    <row r="251" spans="2:14" ht="18.75" x14ac:dyDescent="0.3">
      <c r="C251" s="68"/>
      <c r="D251" s="69"/>
      <c r="E251" s="66"/>
      <c r="F251" s="66"/>
      <c r="G251" s="67"/>
      <c r="H251" s="67"/>
      <c r="I251" s="70"/>
      <c r="J251" s="70"/>
      <c r="K251" s="70"/>
    </row>
    <row r="252" spans="2:14" ht="18.75" x14ac:dyDescent="0.3">
      <c r="C252" s="63"/>
      <c r="D252" s="64"/>
      <c r="E252" s="66"/>
      <c r="F252" s="66"/>
      <c r="G252" s="66"/>
      <c r="H252" s="66"/>
      <c r="I252" s="66"/>
      <c r="J252" s="66" t="s">
        <v>369</v>
      </c>
      <c r="K252" s="70"/>
    </row>
    <row r="253" spans="2:14" ht="18.75" x14ac:dyDescent="0.3">
      <c r="C253" s="71" t="s">
        <v>361</v>
      </c>
      <c r="D253" s="64" t="s">
        <v>370</v>
      </c>
      <c r="E253" s="66"/>
      <c r="F253" s="66"/>
      <c r="G253" s="88" t="s">
        <v>371</v>
      </c>
      <c r="H253" s="88"/>
      <c r="I253" s="66"/>
      <c r="J253" s="66"/>
      <c r="K253" s="66"/>
    </row>
    <row r="254" spans="2:14" ht="18.75" x14ac:dyDescent="0.3">
      <c r="C254" s="72"/>
      <c r="D254" s="73"/>
      <c r="E254" s="67"/>
      <c r="F254" s="67"/>
      <c r="G254" s="67"/>
      <c r="H254" s="67"/>
      <c r="I254" s="67"/>
      <c r="J254" s="66"/>
      <c r="K254" s="66"/>
    </row>
    <row r="255" spans="2:14" ht="18.75" x14ac:dyDescent="0.3">
      <c r="C255" s="68"/>
      <c r="D255" s="73"/>
      <c r="E255" s="67"/>
      <c r="F255" s="67"/>
      <c r="G255" s="67"/>
      <c r="H255" s="67"/>
      <c r="I255" s="67"/>
      <c r="J255" s="66"/>
      <c r="K255" s="66"/>
    </row>
    <row r="256" spans="2:14" ht="19.5" thickBot="1" x14ac:dyDescent="0.35">
      <c r="C256" s="63"/>
      <c r="D256" s="74" t="s">
        <v>372</v>
      </c>
      <c r="E256" s="66"/>
      <c r="F256" s="89" t="s">
        <v>373</v>
      </c>
      <c r="G256" s="89"/>
      <c r="H256" s="89"/>
      <c r="I256" s="89"/>
      <c r="J256" s="89"/>
      <c r="K256" s="66"/>
    </row>
    <row r="257" spans="3:11" ht="18.75" x14ac:dyDescent="0.3">
      <c r="C257" s="63"/>
      <c r="D257" s="75" t="s">
        <v>374</v>
      </c>
      <c r="E257" s="76"/>
      <c r="F257" s="78" t="s">
        <v>375</v>
      </c>
      <c r="G257" s="78"/>
      <c r="H257" s="78"/>
      <c r="I257" s="78"/>
      <c r="J257" s="78"/>
      <c r="K257" s="66"/>
    </row>
    <row r="258" spans="3:11" ht="31.5" x14ac:dyDescent="0.5">
      <c r="C258" s="59"/>
      <c r="D258" s="60"/>
      <c r="E258" s="57"/>
      <c r="F258" s="57"/>
      <c r="G258" s="57"/>
      <c r="H258" s="57"/>
      <c r="I258" s="57"/>
      <c r="J258" s="57"/>
      <c r="K258" s="57"/>
    </row>
  </sheetData>
  <autoFilter ref="B13:N241">
    <sortState ref="B16:N241">
      <sortCondition descending="1" ref="B13:B241"/>
    </sortState>
  </autoFilter>
  <mergeCells count="19">
    <mergeCell ref="M13:M14"/>
    <mergeCell ref="G253:H253"/>
    <mergeCell ref="F256:J256"/>
    <mergeCell ref="F257:J257"/>
    <mergeCell ref="I1:N7"/>
    <mergeCell ref="B8:N8"/>
    <mergeCell ref="B11:N11"/>
    <mergeCell ref="N13:N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</mergeCells>
  <phoneticPr fontId="10" type="noConversion"/>
  <pageMargins left="0.70866141732283472" right="0.70866141732283472" top="0.74803149606299213" bottom="0.74803149606299213" header="0.31496062992125984" footer="0.31496062992125984"/>
  <pageSetup paperSize="5"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SGN-OAI</dc:creator>
  <cp:lastModifiedBy>SGN</cp:lastModifiedBy>
  <cp:lastPrinted>2025-08-19T13:58:31Z</cp:lastPrinted>
  <dcterms:created xsi:type="dcterms:W3CDTF">2025-08-13T12:08:18Z</dcterms:created>
  <dcterms:modified xsi:type="dcterms:W3CDTF">2025-10-16T19:08:05Z</dcterms:modified>
</cp:coreProperties>
</file>