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E:\INVENTARIO DE EQUIPO INMOBILIARIO POR DEPARTAMENTO\"/>
    </mc:Choice>
  </mc:AlternateContent>
  <bookViews>
    <workbookView xWindow="-120" yWindow="-120" windowWidth="29040" windowHeight="15720"/>
  </bookViews>
  <sheets>
    <sheet name="INVENTARIO ABRIL" sheetId="2" r:id="rId1"/>
    <sheet name="Hoja1" sheetId="3" r:id="rId2"/>
    <sheet name="Hoja2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4" i="2" l="1"/>
  <c r="J206" i="2"/>
  <c r="J211" i="2"/>
  <c r="J225" i="2"/>
  <c r="J226" i="2"/>
  <c r="H214" i="2"/>
  <c r="I214" i="2"/>
  <c r="N240" i="2"/>
  <c r="H160" i="2" l="1"/>
  <c r="J136" i="2" l="1"/>
  <c r="J138" i="2"/>
  <c r="J139" i="2"/>
  <c r="J137" i="2"/>
  <c r="J37" i="2" l="1"/>
  <c r="I242" i="2" l="1"/>
  <c r="I246" i="2"/>
  <c r="I210" i="2"/>
  <c r="I224" i="2"/>
  <c r="I209" i="2"/>
  <c r="I207" i="2"/>
  <c r="I17" i="2"/>
  <c r="I252" i="2"/>
  <c r="I100" i="2"/>
  <c r="I55" i="2"/>
  <c r="I16" i="2"/>
  <c r="I60" i="2"/>
  <c r="I74" i="2"/>
  <c r="I41" i="2"/>
  <c r="I181" i="2"/>
  <c r="I50" i="2"/>
  <c r="I21" i="2" l="1"/>
  <c r="I23" i="2"/>
  <c r="I247" i="2"/>
  <c r="I124" i="2"/>
  <c r="I241" i="2"/>
  <c r="I230" i="2"/>
  <c r="I229" i="2"/>
  <c r="I243" i="2"/>
  <c r="I244" i="2"/>
  <c r="I31" i="2"/>
  <c r="I216" i="2"/>
  <c r="I237" i="2"/>
  <c r="I178" i="2"/>
  <c r="I24" i="2"/>
  <c r="J172" i="2"/>
  <c r="I180" i="2"/>
  <c r="I179" i="2"/>
  <c r="I98" i="2" l="1"/>
  <c r="I84" i="2"/>
  <c r="I221" i="2"/>
  <c r="I165" i="2"/>
  <c r="J165" i="2" s="1"/>
  <c r="I220" i="2"/>
  <c r="H176" i="2" l="1"/>
  <c r="H177" i="2"/>
  <c r="J176" i="2"/>
  <c r="H175" i="2"/>
  <c r="H174" i="2"/>
  <c r="J174" i="2" s="1"/>
  <c r="H181" i="2" l="1"/>
  <c r="H180" i="2"/>
  <c r="H179" i="2"/>
  <c r="H178" i="2"/>
  <c r="I248" i="2" l="1"/>
  <c r="I93" i="2"/>
  <c r="H243" i="2"/>
  <c r="J242" i="2" l="1"/>
  <c r="I32" i="2"/>
  <c r="J177" i="2"/>
  <c r="I206" i="2"/>
  <c r="I46" i="2"/>
  <c r="I107" i="2"/>
  <c r="J17" i="2"/>
  <c r="J48" i="2"/>
  <c r="J179" i="2"/>
  <c r="J170" i="2"/>
  <c r="B28" i="4" l="1"/>
  <c r="B29" i="4"/>
  <c r="B30" i="4"/>
  <c r="B31" i="4"/>
  <c r="B23" i="4"/>
  <c r="B24" i="4"/>
  <c r="B25" i="4"/>
  <c r="B26" i="4"/>
  <c r="B18" i="4"/>
  <c r="B19" i="4"/>
  <c r="B20" i="4"/>
  <c r="B21" i="4"/>
  <c r="B13" i="4"/>
  <c r="B14" i="4"/>
  <c r="B15" i="4"/>
  <c r="B16" i="4"/>
  <c r="J234" i="2" l="1"/>
  <c r="J207" i="2" l="1"/>
  <c r="L207" i="2" s="1"/>
  <c r="J208" i="2"/>
  <c r="L208" i="2" s="1"/>
  <c r="H23" i="2"/>
  <c r="J23" i="2" s="1"/>
  <c r="J230" i="2"/>
  <c r="L230" i="2" s="1"/>
  <c r="H231" i="2"/>
  <c r="H229" i="2"/>
  <c r="H241" i="2"/>
  <c r="J241" i="2" s="1"/>
  <c r="M208" i="2" l="1"/>
  <c r="N208" i="2" s="1"/>
  <c r="M207" i="2"/>
  <c r="N207" i="2" s="1"/>
  <c r="M230" i="2"/>
  <c r="N230" i="2" s="1"/>
  <c r="H21" i="2"/>
  <c r="J21" i="2" s="1"/>
  <c r="H247" i="2"/>
  <c r="J247" i="2" s="1"/>
  <c r="H24" i="2" l="1"/>
  <c r="J178" i="2" l="1"/>
  <c r="J181" i="2"/>
  <c r="J180" i="2"/>
  <c r="B44" i="2" l="1"/>
  <c r="H216" i="2" l="1"/>
  <c r="J175" i="2" l="1"/>
  <c r="H246" i="2"/>
  <c r="J212" i="2" l="1"/>
  <c r="L212" i="2" s="1"/>
  <c r="H233" i="2"/>
  <c r="M212" i="2" l="1"/>
  <c r="N212" i="2" s="1"/>
  <c r="H248" i="2"/>
  <c r="J248" i="2"/>
  <c r="J243" i="2"/>
  <c r="M180" i="2" l="1"/>
  <c r="N180" i="2" s="1"/>
  <c r="M181" i="2"/>
  <c r="N181" i="2" s="1"/>
  <c r="M179" i="2"/>
  <c r="N179" i="2" s="1"/>
  <c r="M178" i="2"/>
  <c r="N178" i="2" s="1"/>
  <c r="L165" i="2"/>
  <c r="N165" i="2" s="1"/>
  <c r="J163" i="2"/>
  <c r="N176" i="2" l="1"/>
  <c r="N177" i="2"/>
  <c r="N175" i="2"/>
  <c r="N174" i="2"/>
  <c r="N173" i="2"/>
  <c r="N172" i="2"/>
  <c r="N171" i="2"/>
  <c r="N170" i="2"/>
  <c r="J123" i="2" l="1"/>
  <c r="J39" i="2" l="1"/>
  <c r="J40" i="2"/>
  <c r="B95" i="2" l="1"/>
  <c r="D95" i="2"/>
  <c r="J95" i="2"/>
  <c r="L95" i="2" s="1"/>
  <c r="J96" i="2"/>
  <c r="L96" i="2"/>
  <c r="M96" i="2" s="1"/>
  <c r="J227" i="2"/>
  <c r="L227" i="2" s="1"/>
  <c r="M227" i="2" l="1"/>
  <c r="N227" i="2" s="1"/>
  <c r="M95" i="2"/>
  <c r="N95" i="2" s="1"/>
  <c r="B76" i="2"/>
  <c r="D76" i="2"/>
  <c r="H76" i="2"/>
  <c r="J76" i="2" s="1"/>
  <c r="L76" i="2" s="1"/>
  <c r="H75" i="2"/>
  <c r="J108" i="2"/>
  <c r="J104" i="2"/>
  <c r="K104" i="2" s="1"/>
  <c r="M76" i="2" l="1"/>
  <c r="N76" i="2" s="1"/>
  <c r="J60" i="2"/>
  <c r="J47" i="2"/>
  <c r="J16" i="2" l="1"/>
  <c r="J252" i="2" l="1"/>
  <c r="J74" i="2" l="1"/>
  <c r="L74" i="2" s="1"/>
  <c r="M74" i="2" s="1"/>
  <c r="L44" i="2"/>
  <c r="L43" i="2"/>
  <c r="J42" i="2"/>
  <c r="L42" i="2" s="1"/>
  <c r="D44" i="2"/>
  <c r="D43" i="2"/>
  <c r="B43" i="2"/>
  <c r="D42" i="2"/>
  <c r="B42" i="2"/>
  <c r="J128" i="2"/>
  <c r="L128" i="2" s="1"/>
  <c r="J35" i="2"/>
  <c r="L35" i="2" s="1"/>
  <c r="J103" i="2"/>
  <c r="J124" i="2"/>
  <c r="L124" i="2" s="1"/>
  <c r="J255" i="2"/>
  <c r="L255" i="2" s="1"/>
  <c r="J131" i="2"/>
  <c r="L131" i="2" s="1"/>
  <c r="J101" i="2"/>
  <c r="J148" i="2"/>
  <c r="L234" i="2"/>
  <c r="J209" i="2"/>
  <c r="L209" i="2" s="1"/>
  <c r="L37" i="2"/>
  <c r="F37" i="2"/>
  <c r="L38" i="2"/>
  <c r="J36" i="2"/>
  <c r="L36" i="2" s="1"/>
  <c r="J50" i="2"/>
  <c r="L50" i="2" s="1"/>
  <c r="J57" i="3"/>
  <c r="L57" i="3" s="1"/>
  <c r="J56" i="3"/>
  <c r="L56" i="3" s="1"/>
  <c r="J55" i="3"/>
  <c r="L55" i="3" s="1"/>
  <c r="M55" i="3" s="1"/>
  <c r="J54" i="3"/>
  <c r="L54" i="3" s="1"/>
  <c r="J53" i="3"/>
  <c r="L53" i="3" s="1"/>
  <c r="J52" i="3"/>
  <c r="L52" i="3" s="1"/>
  <c r="J51" i="3"/>
  <c r="L51" i="3" s="1"/>
  <c r="J50" i="3"/>
  <c r="L50" i="3" s="1"/>
  <c r="M50" i="3" s="1"/>
  <c r="N50" i="3" s="1"/>
  <c r="J72" i="2"/>
  <c r="L72" i="2" s="1"/>
  <c r="J133" i="2"/>
  <c r="L133" i="2" s="1"/>
  <c r="J132" i="2"/>
  <c r="L132" i="2" s="1"/>
  <c r="L123" i="2"/>
  <c r="M123" i="2" s="1"/>
  <c r="N123" i="2" s="1"/>
  <c r="L60" i="2"/>
  <c r="M60" i="2" s="1"/>
  <c r="N60" i="2" s="1"/>
  <c r="J235" i="2"/>
  <c r="L235" i="2" s="1"/>
  <c r="J236" i="2"/>
  <c r="L236" i="2" s="1"/>
  <c r="J233" i="2"/>
  <c r="L233" i="2" s="1"/>
  <c r="J215" i="2"/>
  <c r="L215" i="2" s="1"/>
  <c r="J245" i="2"/>
  <c r="L245" i="2" s="1"/>
  <c r="I47" i="3"/>
  <c r="K47" i="3" s="1"/>
  <c r="I46" i="3"/>
  <c r="K46" i="3" s="1"/>
  <c r="I45" i="3"/>
  <c r="K45" i="3" s="1"/>
  <c r="I44" i="3"/>
  <c r="K44" i="3" s="1"/>
  <c r="I43" i="3"/>
  <c r="K43" i="3" s="1"/>
  <c r="I42" i="3"/>
  <c r="K42" i="3" s="1"/>
  <c r="I41" i="3"/>
  <c r="K41" i="3" s="1"/>
  <c r="I40" i="3"/>
  <c r="K40" i="3" s="1"/>
  <c r="I39" i="3"/>
  <c r="K39" i="3" s="1"/>
  <c r="I38" i="3"/>
  <c r="K38" i="3" s="1"/>
  <c r="I37" i="3"/>
  <c r="K37" i="3" s="1"/>
  <c r="I36" i="3"/>
  <c r="K36" i="3" s="1"/>
  <c r="I35" i="3"/>
  <c r="K35" i="3" s="1"/>
  <c r="I34" i="3"/>
  <c r="K34" i="3" s="1"/>
  <c r="I33" i="3"/>
  <c r="K33" i="3" s="1"/>
  <c r="I32" i="3"/>
  <c r="K32" i="3" s="1"/>
  <c r="M44" i="2" l="1"/>
  <c r="N44" i="2" s="1"/>
  <c r="M43" i="2"/>
  <c r="N43" i="2" s="1"/>
  <c r="M42" i="2"/>
  <c r="N42" i="2" s="1"/>
  <c r="M128" i="2"/>
  <c r="N128" i="2" s="1"/>
  <c r="M35" i="2"/>
  <c r="N35" i="2" s="1"/>
  <c r="M124" i="2"/>
  <c r="N124" i="2" s="1"/>
  <c r="M255" i="2"/>
  <c r="N255" i="2" s="1"/>
  <c r="M131" i="2"/>
  <c r="N131" i="2" s="1"/>
  <c r="M234" i="2"/>
  <c r="N234" i="2" s="1"/>
  <c r="M209" i="2"/>
  <c r="N209" i="2" s="1"/>
  <c r="M37" i="2"/>
  <c r="N37" i="2" s="1"/>
  <c r="M38" i="2"/>
  <c r="N38" i="2" s="1"/>
  <c r="M36" i="2"/>
  <c r="N36" i="2" s="1"/>
  <c r="M50" i="2"/>
  <c r="N50" i="2" s="1"/>
  <c r="M56" i="3"/>
  <c r="N56" i="3" s="1"/>
  <c r="M57" i="3"/>
  <c r="N57" i="3" s="1"/>
  <c r="M54" i="3"/>
  <c r="N54" i="3" s="1"/>
  <c r="N55" i="3"/>
  <c r="M52" i="3"/>
  <c r="N52" i="3" s="1"/>
  <c r="M53" i="3"/>
  <c r="N53" i="3" s="1"/>
  <c r="M51" i="3"/>
  <c r="N51" i="3" s="1"/>
  <c r="M72" i="2"/>
  <c r="N72" i="2" s="1"/>
  <c r="M133" i="2"/>
  <c r="N133" i="2" s="1"/>
  <c r="N74" i="2"/>
  <c r="M132" i="2"/>
  <c r="N132" i="2" s="1"/>
  <c r="M235" i="2"/>
  <c r="N235" i="2" s="1"/>
  <c r="M236" i="2"/>
  <c r="N236" i="2" s="1"/>
  <c r="M233" i="2"/>
  <c r="N233" i="2" s="1"/>
  <c r="M215" i="2"/>
  <c r="N215" i="2" s="1"/>
  <c r="M245" i="2"/>
  <c r="N245" i="2" s="1"/>
  <c r="L41" i="3"/>
  <c r="M41" i="3" s="1"/>
  <c r="L44" i="3"/>
  <c r="M44" i="3" s="1"/>
  <c r="L45" i="3"/>
  <c r="M45" i="3" s="1"/>
  <c r="L38" i="3"/>
  <c r="M38" i="3" s="1"/>
  <c r="L42" i="3"/>
  <c r="M42" i="3" s="1"/>
  <c r="L46" i="3"/>
  <c r="M46" i="3" s="1"/>
  <c r="L40" i="3"/>
  <c r="M40" i="3" s="1"/>
  <c r="L39" i="3"/>
  <c r="M39" i="3" s="1"/>
  <c r="L43" i="3"/>
  <c r="M43" i="3" s="1"/>
  <c r="L47" i="3"/>
  <c r="M47" i="3" s="1"/>
  <c r="L37" i="3"/>
  <c r="M37" i="3" s="1"/>
  <c r="L36" i="3"/>
  <c r="M36" i="3" s="1"/>
  <c r="L35" i="3"/>
  <c r="M35" i="3" s="1"/>
  <c r="L34" i="3"/>
  <c r="M34" i="3" s="1"/>
  <c r="L33" i="3"/>
  <c r="M33" i="3" s="1"/>
  <c r="L32" i="3"/>
  <c r="M32" i="3" s="1"/>
  <c r="J221" i="2" l="1"/>
  <c r="L221" i="2" s="1"/>
  <c r="J222" i="2"/>
  <c r="M221" i="2" l="1"/>
  <c r="N221" i="2" s="1"/>
  <c r="J232" i="2"/>
  <c r="L232" i="2" s="1"/>
  <c r="M232" i="2" l="1"/>
  <c r="N232" i="2" s="1"/>
  <c r="I31" i="3"/>
  <c r="K31" i="3" s="1"/>
  <c r="I30" i="3"/>
  <c r="K30" i="3" s="1"/>
  <c r="I29" i="3"/>
  <c r="K29" i="3" s="1"/>
  <c r="I28" i="3"/>
  <c r="K28" i="3" s="1"/>
  <c r="I27" i="3"/>
  <c r="K27" i="3" s="1"/>
  <c r="I26" i="3"/>
  <c r="K26" i="3" s="1"/>
  <c r="I25" i="3"/>
  <c r="K25" i="3" s="1"/>
  <c r="I24" i="3"/>
  <c r="K24" i="3" s="1"/>
  <c r="I23" i="3"/>
  <c r="K23" i="3" s="1"/>
  <c r="I22" i="3"/>
  <c r="K22" i="3" s="1"/>
  <c r="I21" i="3"/>
  <c r="K21" i="3" s="1"/>
  <c r="I20" i="3"/>
  <c r="K20" i="3" s="1"/>
  <c r="I19" i="3"/>
  <c r="K19" i="3" s="1"/>
  <c r="I18" i="3"/>
  <c r="K18" i="3" s="1"/>
  <c r="I17" i="3"/>
  <c r="K17" i="3" s="1"/>
  <c r="I16" i="3"/>
  <c r="K16" i="3" s="1"/>
  <c r="I15" i="3"/>
  <c r="K15" i="3" s="1"/>
  <c r="L21" i="3" l="1"/>
  <c r="M21" i="3" s="1"/>
  <c r="L18" i="3"/>
  <c r="M18" i="3" s="1"/>
  <c r="L23" i="3"/>
  <c r="M23" i="3" s="1"/>
  <c r="L17" i="3"/>
  <c r="M17" i="3" s="1"/>
  <c r="L25" i="3"/>
  <c r="M25" i="3" s="1"/>
  <c r="L28" i="3"/>
  <c r="M28" i="3" s="1"/>
  <c r="L22" i="3"/>
  <c r="M22" i="3" s="1"/>
  <c r="L26" i="3"/>
  <c r="M26" i="3" s="1"/>
  <c r="L29" i="3"/>
  <c r="M29" i="3" s="1"/>
  <c r="L15" i="3"/>
  <c r="M15" i="3" s="1"/>
  <c r="L19" i="3"/>
  <c r="M19" i="3" s="1"/>
  <c r="L27" i="3"/>
  <c r="M27" i="3" s="1"/>
  <c r="L30" i="3"/>
  <c r="M30" i="3" s="1"/>
  <c r="L16" i="3"/>
  <c r="M16" i="3" s="1"/>
  <c r="L20" i="3"/>
  <c r="M20" i="3" s="1"/>
  <c r="L24" i="3"/>
  <c r="M24" i="3" s="1"/>
  <c r="L31" i="3"/>
  <c r="M31" i="3" s="1"/>
  <c r="J144" i="2"/>
  <c r="J143" i="2"/>
  <c r="J142" i="2"/>
  <c r="J141" i="2"/>
  <c r="J204" i="2"/>
  <c r="L204" i="2" s="1"/>
  <c r="J203" i="2"/>
  <c r="L203" i="2" s="1"/>
  <c r="J202" i="2"/>
  <c r="L202" i="2" s="1"/>
  <c r="J201" i="2"/>
  <c r="L201" i="2" s="1"/>
  <c r="J199" i="2"/>
  <c r="L199" i="2" s="1"/>
  <c r="J198" i="2"/>
  <c r="L198" i="2" s="1"/>
  <c r="J197" i="2"/>
  <c r="L197" i="2" s="1"/>
  <c r="J196" i="2"/>
  <c r="L196" i="2" s="1"/>
  <c r="J194" i="2"/>
  <c r="L194" i="2" s="1"/>
  <c r="J193" i="2"/>
  <c r="L193" i="2" s="1"/>
  <c r="J192" i="2"/>
  <c r="L192" i="2" s="1"/>
  <c r="J191" i="2"/>
  <c r="L191" i="2" s="1"/>
  <c r="J189" i="2"/>
  <c r="L189" i="2" s="1"/>
  <c r="J188" i="2"/>
  <c r="L188" i="2" s="1"/>
  <c r="J187" i="2"/>
  <c r="L187" i="2" s="1"/>
  <c r="J186" i="2"/>
  <c r="L186" i="2" s="1"/>
  <c r="J184" i="2"/>
  <c r="L184" i="2" s="1"/>
  <c r="J183" i="2"/>
  <c r="L183" i="2" s="1"/>
  <c r="J182" i="2"/>
  <c r="L182" i="2" s="1"/>
  <c r="M203" i="2" l="1"/>
  <c r="N203" i="2" s="1"/>
  <c r="M201" i="2"/>
  <c r="N201" i="2" s="1"/>
  <c r="M202" i="2"/>
  <c r="N202" i="2" s="1"/>
  <c r="M204" i="2"/>
  <c r="N204" i="2" s="1"/>
  <c r="M199" i="2"/>
  <c r="N199" i="2" s="1"/>
  <c r="M196" i="2"/>
  <c r="N196" i="2" s="1"/>
  <c r="M197" i="2"/>
  <c r="N197" i="2" s="1"/>
  <c r="M198" i="2"/>
  <c r="N198" i="2" s="1"/>
  <c r="M191" i="2"/>
  <c r="N191" i="2" s="1"/>
  <c r="M193" i="2"/>
  <c r="N193" i="2" s="1"/>
  <c r="M192" i="2"/>
  <c r="N192" i="2" s="1"/>
  <c r="M194" i="2"/>
  <c r="N194" i="2" s="1"/>
  <c r="M186" i="2"/>
  <c r="N186" i="2" s="1"/>
  <c r="M187" i="2"/>
  <c r="N187" i="2" s="1"/>
  <c r="M188" i="2"/>
  <c r="N188" i="2" s="1"/>
  <c r="M189" i="2"/>
  <c r="N189" i="2" s="1"/>
  <c r="M182" i="2"/>
  <c r="N182" i="2" s="1"/>
  <c r="M183" i="2"/>
  <c r="N183" i="2" s="1"/>
  <c r="M184" i="2"/>
  <c r="N184" i="2" s="1"/>
  <c r="J169" i="2"/>
  <c r="L169" i="2" s="1"/>
  <c r="J168" i="2"/>
  <c r="L168" i="2" s="1"/>
  <c r="J167" i="2"/>
  <c r="L167" i="2" s="1"/>
  <c r="M167" i="2" s="1"/>
  <c r="J166" i="2"/>
  <c r="L166" i="2" s="1"/>
  <c r="L163" i="2"/>
  <c r="J162" i="2"/>
  <c r="L162" i="2" s="1"/>
  <c r="J161" i="2"/>
  <c r="L161" i="2" s="1"/>
  <c r="J160" i="2"/>
  <c r="L160" i="2" s="1"/>
  <c r="M160" i="2" s="1"/>
  <c r="J159" i="2"/>
  <c r="L159" i="2" s="1"/>
  <c r="J158" i="2"/>
  <c r="L158" i="2" s="1"/>
  <c r="M158" i="2" s="1"/>
  <c r="J157" i="2"/>
  <c r="L157" i="2" s="1"/>
  <c r="M157" i="2" s="1"/>
  <c r="J156" i="2"/>
  <c r="L156" i="2" s="1"/>
  <c r="J154" i="2"/>
  <c r="L154" i="2" s="1"/>
  <c r="J153" i="2"/>
  <c r="L153" i="2" s="1"/>
  <c r="M153" i="2" s="1"/>
  <c r="J152" i="2"/>
  <c r="L152" i="2" s="1"/>
  <c r="M152" i="2" s="1"/>
  <c r="J151" i="2"/>
  <c r="L151" i="2" s="1"/>
  <c r="F151" i="2"/>
  <c r="F152" i="2" s="1"/>
  <c r="F154" i="2" s="1"/>
  <c r="F156" i="2" s="1"/>
  <c r="J149" i="2"/>
  <c r="L149" i="2" s="1"/>
  <c r="L148" i="2"/>
  <c r="J147" i="2"/>
  <c r="L147" i="2" s="1"/>
  <c r="J146" i="2"/>
  <c r="L146" i="2" s="1"/>
  <c r="L144" i="2"/>
  <c r="L143" i="2"/>
  <c r="L142" i="2"/>
  <c r="L141" i="2"/>
  <c r="M141" i="2" s="1"/>
  <c r="N141" i="2" s="1"/>
  <c r="L139" i="2"/>
  <c r="L138" i="2"/>
  <c r="L137" i="2"/>
  <c r="L136" i="2"/>
  <c r="M139" i="2" l="1"/>
  <c r="N139" i="2" s="1"/>
  <c r="M161" i="2"/>
  <c r="N161" i="2" s="1"/>
  <c r="N160" i="2"/>
  <c r="F157" i="2"/>
  <c r="F159" i="2" s="1"/>
  <c r="F160" i="2"/>
  <c r="F161" i="2" s="1"/>
  <c r="F162" i="2" s="1"/>
  <c r="F163" i="2" s="1"/>
  <c r="N167" i="2"/>
  <c r="M166" i="2"/>
  <c r="N166" i="2" s="1"/>
  <c r="M168" i="2"/>
  <c r="N168" i="2" s="1"/>
  <c r="M169" i="2"/>
  <c r="N169" i="2" s="1"/>
  <c r="M163" i="2"/>
  <c r="N163" i="2" s="1"/>
  <c r="M162" i="2"/>
  <c r="N162" i="2" s="1"/>
  <c r="M156" i="2"/>
  <c r="N156" i="2" s="1"/>
  <c r="M159" i="2"/>
  <c r="N159" i="2" s="1"/>
  <c r="N157" i="2"/>
  <c r="N158" i="2"/>
  <c r="M151" i="2"/>
  <c r="N151" i="2" s="1"/>
  <c r="M154" i="2"/>
  <c r="N154" i="2" s="1"/>
  <c r="N152" i="2"/>
  <c r="N153" i="2"/>
  <c r="M147" i="2"/>
  <c r="N147" i="2" s="1"/>
  <c r="M146" i="2"/>
  <c r="N146" i="2" s="1"/>
  <c r="M148" i="2"/>
  <c r="N148" i="2" s="1"/>
  <c r="M149" i="2"/>
  <c r="N149" i="2" s="1"/>
  <c r="M144" i="2"/>
  <c r="N144" i="2" s="1"/>
  <c r="M142" i="2"/>
  <c r="N142" i="2" s="1"/>
  <c r="M143" i="2"/>
  <c r="N143" i="2" s="1"/>
  <c r="M138" i="2"/>
  <c r="N138" i="2" s="1"/>
  <c r="M136" i="2"/>
  <c r="N136" i="2" s="1"/>
  <c r="M137" i="2"/>
  <c r="N137" i="2" s="1"/>
  <c r="L115" i="2"/>
  <c r="M115" i="2" s="1"/>
  <c r="N115" i="2" s="1"/>
  <c r="J114" i="2"/>
  <c r="L114" i="2" s="1"/>
  <c r="F114" i="2"/>
  <c r="D114" i="2"/>
  <c r="D115" i="2" s="1"/>
  <c r="B114" i="2"/>
  <c r="B115" i="2" s="1"/>
  <c r="J119" i="2"/>
  <c r="L119" i="2" s="1"/>
  <c r="J120" i="2"/>
  <c r="L120" i="2" s="1"/>
  <c r="J118" i="2"/>
  <c r="L118" i="2" s="1"/>
  <c r="J121" i="2"/>
  <c r="L121" i="2" s="1"/>
  <c r="J122" i="2"/>
  <c r="L122" i="2" s="1"/>
  <c r="J125" i="2"/>
  <c r="L125" i="2" s="1"/>
  <c r="J126" i="2"/>
  <c r="L126" i="2" s="1"/>
  <c r="J127" i="2"/>
  <c r="L127" i="2" s="1"/>
  <c r="J129" i="2"/>
  <c r="L129" i="2" s="1"/>
  <c r="J130" i="2"/>
  <c r="L130" i="2" s="1"/>
  <c r="J134" i="2"/>
  <c r="L134" i="2" s="1"/>
  <c r="J117" i="2"/>
  <c r="L117" i="2" s="1"/>
  <c r="J116" i="2"/>
  <c r="L116" i="2" s="1"/>
  <c r="J113" i="2"/>
  <c r="L113" i="2" s="1"/>
  <c r="J112" i="2"/>
  <c r="L112" i="2" s="1"/>
  <c r="J111" i="2"/>
  <c r="L111" i="2" s="1"/>
  <c r="M114" i="2" l="1"/>
  <c r="N114" i="2" s="1"/>
  <c r="M119" i="2"/>
  <c r="N119" i="2" s="1"/>
  <c r="M120" i="2"/>
  <c r="N120" i="2" s="1"/>
  <c r="M118" i="2"/>
  <c r="N118" i="2" s="1"/>
  <c r="M121" i="2"/>
  <c r="N121" i="2" s="1"/>
  <c r="M122" i="2"/>
  <c r="N122" i="2" s="1"/>
  <c r="M125" i="2"/>
  <c r="N125" i="2" s="1"/>
  <c r="M126" i="2"/>
  <c r="N126" i="2" s="1"/>
  <c r="M127" i="2"/>
  <c r="N127" i="2" s="1"/>
  <c r="M129" i="2"/>
  <c r="N129" i="2" s="1"/>
  <c r="M130" i="2"/>
  <c r="N130" i="2" s="1"/>
  <c r="M134" i="2"/>
  <c r="N134" i="2" s="1"/>
  <c r="M117" i="2"/>
  <c r="N117" i="2" s="1"/>
  <c r="M116" i="2"/>
  <c r="N116" i="2" s="1"/>
  <c r="M113" i="2"/>
  <c r="N113" i="2" s="1"/>
  <c r="M112" i="2"/>
  <c r="N112" i="2" s="1"/>
  <c r="M111" i="2"/>
  <c r="N111" i="2" s="1"/>
  <c r="J32" i="2" l="1"/>
  <c r="J30" i="2"/>
  <c r="J29" i="2"/>
  <c r="J28" i="2"/>
  <c r="J26" i="2"/>
  <c r="J24" i="2"/>
  <c r="J22" i="2"/>
  <c r="J19" i="2"/>
  <c r="J18" i="2"/>
  <c r="J220" i="2"/>
  <c r="J219" i="2"/>
  <c r="L219" i="2" s="1"/>
  <c r="J218" i="2"/>
  <c r="J217" i="2"/>
  <c r="J216" i="2"/>
  <c r="J214" i="2"/>
  <c r="J213" i="2"/>
  <c r="J210" i="2"/>
  <c r="J231" i="2"/>
  <c r="J229" i="2"/>
  <c r="J223" i="2"/>
  <c r="J238" i="2"/>
  <c r="J256" i="2"/>
  <c r="J254" i="2"/>
  <c r="J253" i="2"/>
  <c r="J251" i="2"/>
  <c r="J250" i="2"/>
  <c r="J249" i="2"/>
  <c r="J246" i="2"/>
  <c r="J244" i="2"/>
  <c r="J106" i="2" l="1"/>
  <c r="L106" i="2" s="1"/>
  <c r="J105" i="2"/>
  <c r="L105" i="2" s="1"/>
  <c r="B98" i="3"/>
  <c r="M106" i="2" l="1"/>
  <c r="N106" i="2" s="1"/>
  <c r="M105" i="2"/>
  <c r="N105" i="2" s="1"/>
  <c r="J53" i="2"/>
  <c r="F46" i="2" l="1"/>
  <c r="J64" i="2"/>
  <c r="L64" i="2" s="1"/>
  <c r="J86" i="2"/>
  <c r="M64" i="2" l="1"/>
  <c r="N64" i="2" s="1"/>
  <c r="L220" i="2"/>
  <c r="L223" i="2"/>
  <c r="L206" i="2"/>
  <c r="L210" i="2"/>
  <c r="L101" i="2"/>
  <c r="M220" i="2" l="1"/>
  <c r="N220" i="2" s="1"/>
  <c r="M223" i="2"/>
  <c r="N223" i="2" s="1"/>
  <c r="M210" i="2"/>
  <c r="N210" i="2" s="1"/>
  <c r="M206" i="2"/>
  <c r="N206" i="2" s="1"/>
  <c r="M101" i="2"/>
  <c r="N101" i="2" s="1"/>
  <c r="F17" i="2"/>
  <c r="F16" i="2"/>
  <c r="J98" i="2"/>
  <c r="L98" i="2" s="1"/>
  <c r="M98" i="2" l="1"/>
  <c r="N98" i="2" s="1"/>
  <c r="D69" i="2"/>
  <c r="J46" i="2"/>
  <c r="L46" i="2" s="1"/>
  <c r="M46" i="2" s="1"/>
  <c r="N46" i="2" s="1"/>
  <c r="J45" i="2"/>
  <c r="L45" i="2" s="1"/>
  <c r="M45" i="2" s="1"/>
  <c r="D45" i="2"/>
  <c r="D46" i="2" s="1"/>
  <c r="B45" i="2"/>
  <c r="B46" i="2" s="1"/>
  <c r="N45" i="2" l="1"/>
  <c r="J69" i="2"/>
  <c r="L69" i="2" s="1"/>
  <c r="M69" i="2" s="1"/>
  <c r="N69" i="2" s="1"/>
  <c r="J107" i="2"/>
  <c r="L107" i="2" s="1"/>
  <c r="J78" i="2"/>
  <c r="L78" i="2" s="1"/>
  <c r="J77" i="2"/>
  <c r="L77" i="2" s="1"/>
  <c r="J75" i="2"/>
  <c r="L75" i="2" s="1"/>
  <c r="L73" i="2"/>
  <c r="J71" i="2"/>
  <c r="L71" i="2" s="1"/>
  <c r="M71" i="2" s="1"/>
  <c r="N71" i="2" s="1"/>
  <c r="J70" i="2"/>
  <c r="L70" i="2" s="1"/>
  <c r="M70" i="2" s="1"/>
  <c r="N70" i="2" s="1"/>
  <c r="F70" i="2"/>
  <c r="F71" i="2" s="1"/>
  <c r="F73" i="2" s="1"/>
  <c r="F78" i="2" s="1"/>
  <c r="D70" i="2"/>
  <c r="D71" i="2" s="1"/>
  <c r="B70" i="2"/>
  <c r="B71" i="2" s="1"/>
  <c r="D73" i="2" l="1"/>
  <c r="D75" i="2" s="1"/>
  <c r="D77" i="2" s="1"/>
  <c r="M73" i="2"/>
  <c r="N73" i="2" s="1"/>
  <c r="B79" i="2"/>
  <c r="B73" i="2"/>
  <c r="B75" i="2" s="1"/>
  <c r="B77" i="2" s="1"/>
  <c r="M75" i="2"/>
  <c r="N75" i="2" s="1"/>
  <c r="M77" i="2"/>
  <c r="N77" i="2" s="1"/>
  <c r="M78" i="2"/>
  <c r="N78" i="2" s="1"/>
  <c r="M107" i="2"/>
  <c r="N107" i="2" s="1"/>
  <c r="L226" i="2"/>
  <c r="M226" i="2" s="1"/>
  <c r="N226" i="2" s="1"/>
  <c r="L225" i="2"/>
  <c r="L224" i="2"/>
  <c r="L222" i="2"/>
  <c r="M219" i="2"/>
  <c r="N219" i="2" s="1"/>
  <c r="D219" i="2"/>
  <c r="B219" i="2"/>
  <c r="B224" i="2" s="1"/>
  <c r="B225" i="2" s="1"/>
  <c r="B226" i="2" s="1"/>
  <c r="J99" i="2"/>
  <c r="L99" i="2" s="1"/>
  <c r="F99" i="2"/>
  <c r="D99" i="2"/>
  <c r="B99" i="2"/>
  <c r="J94" i="2"/>
  <c r="L94" i="2" s="1"/>
  <c r="M94" i="2" s="1"/>
  <c r="N94" i="2" s="1"/>
  <c r="F94" i="2"/>
  <c r="D94" i="2"/>
  <c r="B94" i="2"/>
  <c r="J102" i="2"/>
  <c r="L102" i="2" s="1"/>
  <c r="F102" i="2"/>
  <c r="D102" i="2"/>
  <c r="B102" i="2"/>
  <c r="J97" i="2"/>
  <c r="L97" i="2" s="1"/>
  <c r="N96" i="2"/>
  <c r="B96" i="2" l="1"/>
  <c r="B97" i="2" s="1"/>
  <c r="D96" i="2"/>
  <c r="D97" i="2" s="1"/>
  <c r="B78" i="2"/>
  <c r="D78" i="2"/>
  <c r="M97" i="2"/>
  <c r="N97" i="2" s="1"/>
  <c r="M102" i="2"/>
  <c r="N102" i="2" s="1"/>
  <c r="M99" i="2"/>
  <c r="N99" i="2" s="1"/>
  <c r="M225" i="2"/>
  <c r="N225" i="2" s="1"/>
  <c r="M224" i="2"/>
  <c r="N224" i="2" s="1"/>
  <c r="M222" i="2"/>
  <c r="N222" i="2" s="1"/>
  <c r="J110" i="2"/>
  <c r="L110" i="2" s="1"/>
  <c r="J109" i="2"/>
  <c r="L109" i="2" s="1"/>
  <c r="L108" i="2"/>
  <c r="M109" i="2" l="1"/>
  <c r="N109" i="2" s="1"/>
  <c r="M108" i="2"/>
  <c r="N108" i="2" s="1"/>
  <c r="M110" i="2"/>
  <c r="N110" i="2" s="1"/>
  <c r="L231" i="2"/>
  <c r="F231" i="2"/>
  <c r="L229" i="2"/>
  <c r="M229" i="2" s="1"/>
  <c r="N229" i="2" s="1"/>
  <c r="B231" i="2"/>
  <c r="M231" i="2" l="1"/>
  <c r="N231" i="2" s="1"/>
  <c r="F104" i="2"/>
  <c r="D104" i="2"/>
  <c r="B104" i="2"/>
  <c r="L104" i="2" l="1"/>
  <c r="F108" i="2"/>
  <c r="F107" i="2"/>
  <c r="D108" i="2"/>
  <c r="D107" i="2"/>
  <c r="B108" i="2"/>
  <c r="B107" i="2"/>
  <c r="L18" i="2"/>
  <c r="J100" i="2"/>
  <c r="B109" i="2" l="1"/>
  <c r="B110" i="2" s="1"/>
  <c r="B111" i="2"/>
  <c r="D109" i="2"/>
  <c r="D110" i="2" s="1"/>
  <c r="D111" i="2"/>
  <c r="F109" i="2"/>
  <c r="F110" i="2" s="1"/>
  <c r="F111" i="2"/>
  <c r="M104" i="2"/>
  <c r="N104" i="2" s="1"/>
  <c r="M18" i="2"/>
  <c r="N18" i="2" s="1"/>
  <c r="J49" i="2"/>
  <c r="L49" i="2" s="1"/>
  <c r="L19" i="2"/>
  <c r="L17" i="2"/>
  <c r="J79" i="2"/>
  <c r="L79" i="2" s="1"/>
  <c r="M79" i="2" s="1"/>
  <c r="N79" i="2" s="1"/>
  <c r="L68" i="2"/>
  <c r="M68" i="2" s="1"/>
  <c r="N68" i="2" s="1"/>
  <c r="J85" i="2"/>
  <c r="L85" i="2" s="1"/>
  <c r="M85" i="2" s="1"/>
  <c r="N85" i="2" s="1"/>
  <c r="J84" i="2"/>
  <c r="L84" i="2" s="1"/>
  <c r="M84" i="2" s="1"/>
  <c r="N84" i="2" s="1"/>
  <c r="J51" i="2"/>
  <c r="L51" i="2" s="1"/>
  <c r="M51" i="2" s="1"/>
  <c r="N51" i="2" s="1"/>
  <c r="L48" i="2"/>
  <c r="M48" i="2" s="1"/>
  <c r="N48" i="2" s="1"/>
  <c r="L47" i="2"/>
  <c r="M47" i="2" s="1"/>
  <c r="N47" i="2" s="1"/>
  <c r="L39" i="2"/>
  <c r="L22" i="2"/>
  <c r="L238" i="2"/>
  <c r="O104" i="2" l="1"/>
  <c r="P104" i="2" s="1"/>
  <c r="M49" i="2"/>
  <c r="N49" i="2" s="1"/>
  <c r="M19" i="2"/>
  <c r="N19" i="2" s="1"/>
  <c r="M17" i="2"/>
  <c r="N17" i="2" s="1"/>
  <c r="M39" i="2"/>
  <c r="N39" i="2" s="1"/>
  <c r="M22" i="2"/>
  <c r="N22" i="2" s="1"/>
  <c r="M238" i="2"/>
  <c r="N238" i="2" s="1"/>
  <c r="J91" i="2" l="1"/>
  <c r="L91" i="2" s="1"/>
  <c r="M91" i="2" s="1"/>
  <c r="N91" i="2" s="1"/>
  <c r="J87" i="2"/>
  <c r="L87" i="2" s="1"/>
  <c r="M87" i="2" s="1"/>
  <c r="N87" i="2" s="1"/>
  <c r="J81" i="2"/>
  <c r="L81" i="2" s="1"/>
  <c r="M81" i="2" s="1"/>
  <c r="N81" i="2" s="1"/>
  <c r="J80" i="2"/>
  <c r="L80" i="2" s="1"/>
  <c r="M80" i="2" s="1"/>
  <c r="N80" i="2" s="1"/>
  <c r="L100" i="2"/>
  <c r="M100" i="2" s="1"/>
  <c r="N100" i="2" s="1"/>
  <c r="J83" i="2"/>
  <c r="L83" i="2" s="1"/>
  <c r="M83" i="2" s="1"/>
  <c r="N83" i="2" s="1"/>
  <c r="L86" i="2"/>
  <c r="M86" i="2" s="1"/>
  <c r="L31" i="2"/>
  <c r="J82" i="2"/>
  <c r="L82" i="2" s="1"/>
  <c r="M82" i="2" s="1"/>
  <c r="L67" i="2"/>
  <c r="L27" i="2"/>
  <c r="M31" i="2" l="1"/>
  <c r="N31" i="2" s="1"/>
  <c r="N82" i="2"/>
  <c r="N86" i="2"/>
  <c r="M67" i="2"/>
  <c r="N67" i="2" s="1"/>
  <c r="M27" i="2"/>
  <c r="N27" i="2" s="1"/>
  <c r="J88" i="2"/>
  <c r="L88" i="2" s="1"/>
  <c r="J89" i="2"/>
  <c r="L89" i="2" s="1"/>
  <c r="M89" i="2" l="1"/>
  <c r="N89" i="2" s="1"/>
  <c r="M88" i="2"/>
  <c r="N88" i="2" s="1"/>
  <c r="J58" i="2"/>
  <c r="L58" i="2" s="1"/>
  <c r="M58" i="2" s="1"/>
  <c r="N58" i="2" s="1"/>
  <c r="J57" i="2"/>
  <c r="L57" i="2" s="1"/>
  <c r="M57" i="2" s="1"/>
  <c r="N57" i="2" s="1"/>
  <c r="J56" i="2"/>
  <c r="L56" i="2" s="1"/>
  <c r="M56" i="2" s="1"/>
  <c r="N56" i="2" s="1"/>
  <c r="J55" i="2"/>
  <c r="L55" i="2" s="1"/>
  <c r="M55" i="2" s="1"/>
  <c r="N55" i="2" s="1"/>
  <c r="J54" i="2"/>
  <c r="L54" i="2" s="1"/>
  <c r="M54" i="2" s="1"/>
  <c r="N54" i="2" s="1"/>
  <c r="L53" i="2"/>
  <c r="M53" i="2" s="1"/>
  <c r="N53" i="2" s="1"/>
  <c r="J52" i="2"/>
  <c r="L52" i="2" s="1"/>
  <c r="M52" i="2" s="1"/>
  <c r="N52" i="2" s="1"/>
  <c r="J41" i="2"/>
  <c r="L41" i="2" s="1"/>
  <c r="M41" i="2" s="1"/>
  <c r="N41" i="2" s="1"/>
  <c r="L40" i="2"/>
  <c r="M40" i="2" s="1"/>
  <c r="N40" i="2" s="1"/>
  <c r="J34" i="2"/>
  <c r="L34" i="2" s="1"/>
  <c r="M34" i="2" s="1"/>
  <c r="N34" i="2" s="1"/>
  <c r="L254" i="2" l="1"/>
  <c r="M254" i="2" l="1"/>
  <c r="N254" i="2" s="1"/>
  <c r="L30" i="2"/>
  <c r="M30" i="2" s="1"/>
  <c r="N30" i="2" s="1"/>
  <c r="L28" i="2" l="1"/>
  <c r="M28" i="2" s="1"/>
  <c r="N28" i="2" s="1"/>
  <c r="L29" i="2"/>
  <c r="M29" i="2" s="1"/>
  <c r="N29" i="2" s="1"/>
  <c r="J65" i="2"/>
  <c r="L65" i="2" s="1"/>
  <c r="M65" i="2" s="1"/>
  <c r="N65" i="2" s="1"/>
  <c r="J239" i="2" l="1"/>
  <c r="L239" i="2" s="1"/>
  <c r="J237" i="2"/>
  <c r="L237" i="2" s="1"/>
  <c r="L218" i="2"/>
  <c r="M218" i="2" s="1"/>
  <c r="N218" i="2" s="1"/>
  <c r="L217" i="2"/>
  <c r="L216" i="2"/>
  <c r="L214" i="2"/>
  <c r="L213" i="2"/>
  <c r="L211" i="2"/>
  <c r="L24" i="2"/>
  <c r="L23" i="2"/>
  <c r="L21" i="2"/>
  <c r="L26" i="2"/>
  <c r="L16" i="2"/>
  <c r="L32" i="2"/>
  <c r="J66" i="2"/>
  <c r="L66" i="2" s="1"/>
  <c r="M237" i="2" l="1"/>
  <c r="N237" i="2" s="1"/>
  <c r="M216" i="2"/>
  <c r="N216" i="2" s="1"/>
  <c r="M211" i="2"/>
  <c r="N211" i="2" s="1"/>
  <c r="M217" i="2"/>
  <c r="N217" i="2" s="1"/>
  <c r="M213" i="2"/>
  <c r="N213" i="2" s="1"/>
  <c r="M214" i="2"/>
  <c r="N214" i="2" s="1"/>
  <c r="M239" i="2"/>
  <c r="N239" i="2" s="1"/>
  <c r="M21" i="2"/>
  <c r="N21" i="2" s="1"/>
  <c r="M23" i="2"/>
  <c r="N23" i="2" s="1"/>
  <c r="M24" i="2"/>
  <c r="N24" i="2" s="1"/>
  <c r="M32" i="2"/>
  <c r="N32" i="2" s="1"/>
  <c r="M16" i="2"/>
  <c r="N16" i="2" s="1"/>
  <c r="N15" i="2" s="1"/>
  <c r="M26" i="2"/>
  <c r="N26" i="2" s="1"/>
  <c r="M66" i="2"/>
  <c r="N66" i="2" s="1"/>
  <c r="N205" i="2" l="1"/>
  <c r="N25" i="2"/>
  <c r="N20" i="2"/>
  <c r="L253" i="2" l="1"/>
  <c r="L256" i="2"/>
  <c r="L252" i="2"/>
  <c r="L251" i="2"/>
  <c r="L250" i="2"/>
  <c r="L249" i="2"/>
  <c r="L247" i="2"/>
  <c r="L246" i="2"/>
  <c r="L248" i="2"/>
  <c r="L244" i="2"/>
  <c r="M252" i="2" l="1"/>
  <c r="N252" i="2" s="1"/>
  <c r="M244" i="2"/>
  <c r="N244" i="2" s="1"/>
  <c r="M249" i="2"/>
  <c r="N249" i="2" s="1"/>
  <c r="M253" i="2"/>
  <c r="N253" i="2" s="1"/>
  <c r="M247" i="2"/>
  <c r="N247" i="2" s="1"/>
  <c r="M248" i="2"/>
  <c r="N248" i="2" s="1"/>
  <c r="M250" i="2"/>
  <c r="N250" i="2" s="1"/>
  <c r="M246" i="2"/>
  <c r="N246" i="2" s="1"/>
  <c r="M251" i="2"/>
  <c r="N251" i="2" s="1"/>
  <c r="M256" i="2"/>
  <c r="N256" i="2" s="1"/>
  <c r="J93" i="2" l="1"/>
  <c r="L93" i="2" l="1"/>
  <c r="M93" i="2" s="1"/>
  <c r="N93" i="2" l="1"/>
  <c r="L103" i="2"/>
  <c r="J63" i="2"/>
  <c r="L63" i="2" s="1"/>
  <c r="J62" i="2"/>
  <c r="L62" i="2" s="1"/>
  <c r="J92" i="2"/>
  <c r="L92" i="2" s="1"/>
  <c r="L243" i="2"/>
  <c r="L242" i="2"/>
  <c r="L241" i="2"/>
  <c r="J90" i="2"/>
  <c r="L90" i="2" s="1"/>
  <c r="J61" i="2"/>
  <c r="L61" i="2" s="1"/>
  <c r="J59" i="2"/>
  <c r="L59" i="2" s="1"/>
  <c r="M59" i="2" l="1"/>
  <c r="N59" i="2" s="1"/>
  <c r="M61" i="2"/>
  <c r="N61" i="2" s="1"/>
  <c r="M90" i="2"/>
  <c r="N90" i="2" s="1"/>
  <c r="M241" i="2"/>
  <c r="N241" i="2" s="1"/>
  <c r="M242" i="2"/>
  <c r="N242" i="2" s="1"/>
  <c r="M243" i="2"/>
  <c r="N243" i="2" s="1"/>
  <c r="M92" i="2"/>
  <c r="N92" i="2" s="1"/>
  <c r="M62" i="2"/>
  <c r="N62" i="2" s="1"/>
  <c r="M63" i="2"/>
  <c r="N63" i="2" s="1"/>
  <c r="M103" i="2"/>
  <c r="N103" i="2" s="1"/>
  <c r="N33" i="2" l="1"/>
  <c r="N257" i="2"/>
</calcChain>
</file>

<file path=xl/sharedStrings.xml><?xml version="1.0" encoding="utf-8"?>
<sst xmlns="http://schemas.openxmlformats.org/spreadsheetml/2006/main" count="906" uniqueCount="468">
  <si>
    <t>UND</t>
  </si>
  <si>
    <t xml:space="preserve">INVENTARIO </t>
  </si>
  <si>
    <t>ENTRANDA</t>
  </si>
  <si>
    <t>SALIDA</t>
  </si>
  <si>
    <t>EXISTENCIA</t>
  </si>
  <si>
    <t>TOTAL</t>
  </si>
  <si>
    <t>LIBRETA RAYADA 5x8</t>
  </si>
  <si>
    <t>RESMA 8 1/2 x 14</t>
  </si>
  <si>
    <t xml:space="preserve">FOLDER C/BOLSILLO AZUL 25/1 </t>
  </si>
  <si>
    <t>CJ.</t>
  </si>
  <si>
    <t>LABEL P/CD</t>
  </si>
  <si>
    <t>PQT.</t>
  </si>
  <si>
    <t>SOBRE P/CD DE PAPEL 100/1 BLANCOS</t>
  </si>
  <si>
    <t>CD EN BLANCO</t>
  </si>
  <si>
    <t>BOLIGRAFO AZUL</t>
  </si>
  <si>
    <t>CINTA ADHESIVA DOBLE CARA</t>
  </si>
  <si>
    <t>CINTA PARA SUMADORA SHARP 2.41</t>
  </si>
  <si>
    <t xml:space="preserve">CALCULADORA DE ESCRITORIO Sharp 2630 </t>
  </si>
  <si>
    <t>GRAPADORA</t>
  </si>
  <si>
    <t>TIJERA</t>
  </si>
  <si>
    <t>REGLA</t>
  </si>
  <si>
    <t>PAPEL HIGIENICO JUMBO 12/1</t>
  </si>
  <si>
    <t>TOALLA DE TELA PARA COCINA</t>
  </si>
  <si>
    <t>AMBIENTADOR SPRAY</t>
  </si>
  <si>
    <t>Galon</t>
  </si>
  <si>
    <t>BOTELLA BAYGON EN SPRAY 250ml</t>
  </si>
  <si>
    <t>PAPEL ALUMINIO DIAMOND 75</t>
  </si>
  <si>
    <t xml:space="preserve">                   </t>
  </si>
  <si>
    <t xml:space="preserve">                </t>
  </si>
  <si>
    <t xml:space="preserve">                                                     </t>
  </si>
  <si>
    <t>ITBIS</t>
  </si>
  <si>
    <t>PRECIO UND</t>
  </si>
  <si>
    <t>TOTAL /CANT</t>
  </si>
  <si>
    <t>BATERIA PARA UPS 12V/7AH</t>
  </si>
  <si>
    <t xml:space="preserve">AZUCAR BLANCA  5LB </t>
  </si>
  <si>
    <t xml:space="preserve">AZUCAR CREMA  5LB </t>
  </si>
  <si>
    <t>total</t>
  </si>
  <si>
    <t>CODIGO</t>
  </si>
  <si>
    <t>INTITUCIONAL</t>
  </si>
  <si>
    <t>FECHA DE</t>
  </si>
  <si>
    <t>0004</t>
  </si>
  <si>
    <t>0005</t>
  </si>
  <si>
    <t>0006</t>
  </si>
  <si>
    <t>0015</t>
  </si>
  <si>
    <t>0016</t>
  </si>
  <si>
    <t>0017</t>
  </si>
  <si>
    <t>0034</t>
  </si>
  <si>
    <t>0035</t>
  </si>
  <si>
    <t>0037</t>
  </si>
  <si>
    <t>DESCRIPCION DEL ACTIVO O BIEN</t>
  </si>
  <si>
    <t>DE MEDIDA</t>
  </si>
  <si>
    <t>UNID.</t>
  </si>
  <si>
    <t>BOLIGRAFO NEGRO</t>
  </si>
  <si>
    <t>PAQUETE DE CAFÉ</t>
  </si>
  <si>
    <t>CAJA DE TE BADIA Y MONDAISA</t>
  </si>
  <si>
    <t>DOBLE LITRO REFRESCO COCA COLA</t>
  </si>
  <si>
    <t>DOBLE LITRO REFRESCO SEVE UP</t>
  </si>
  <si>
    <t>DOBLE LITRO REFRESCO ROJO</t>
  </si>
  <si>
    <t xml:space="preserve">FARDO DE 12 ONZAS AGUA PLANETA </t>
  </si>
  <si>
    <t>PAQ,</t>
  </si>
  <si>
    <t>DOBLE LITRO REFRESCO NARANJA</t>
  </si>
  <si>
    <t>CAJAS AZUCAR DE DIETA SPLENDA</t>
  </si>
  <si>
    <t>ESCOBA PLASTIKA MARCA KIKA</t>
  </si>
  <si>
    <t>GALON DE CLORO CLORO</t>
  </si>
  <si>
    <t>SERVILLETAS DE MESA 500/1</t>
  </si>
  <si>
    <t>0002</t>
  </si>
  <si>
    <t>0046</t>
  </si>
  <si>
    <t>0003</t>
  </si>
  <si>
    <t>0001</t>
  </si>
  <si>
    <t>0020</t>
  </si>
  <si>
    <t>0014</t>
  </si>
  <si>
    <t>0010</t>
  </si>
  <si>
    <t>0047</t>
  </si>
  <si>
    <t>0007</t>
  </si>
  <si>
    <t>0008</t>
  </si>
  <si>
    <t>0009</t>
  </si>
  <si>
    <t>0024</t>
  </si>
  <si>
    <t>0078</t>
  </si>
  <si>
    <t>0077</t>
  </si>
  <si>
    <t>0076</t>
  </si>
  <si>
    <t>4/27/2018</t>
  </si>
  <si>
    <t>0060</t>
  </si>
  <si>
    <t>0059</t>
  </si>
  <si>
    <t>0074</t>
  </si>
  <si>
    <t>0073</t>
  </si>
  <si>
    <t>0072</t>
  </si>
  <si>
    <t>0053</t>
  </si>
  <si>
    <t>0052</t>
  </si>
  <si>
    <t>0039</t>
  </si>
  <si>
    <t>0089</t>
  </si>
  <si>
    <t>0090</t>
  </si>
  <si>
    <t>0091</t>
  </si>
  <si>
    <t>0040</t>
  </si>
  <si>
    <t>0080</t>
  </si>
  <si>
    <t>0041</t>
  </si>
  <si>
    <t>0042</t>
  </si>
  <si>
    <t>0081</t>
  </si>
  <si>
    <t>0043</t>
  </si>
  <si>
    <t>0044</t>
  </si>
  <si>
    <t>0045</t>
  </si>
  <si>
    <t>0011</t>
  </si>
  <si>
    <t>0012</t>
  </si>
  <si>
    <t>0013</t>
  </si>
  <si>
    <t>0079</t>
  </si>
  <si>
    <t>0082</t>
  </si>
  <si>
    <t>0083</t>
  </si>
  <si>
    <t>0084</t>
  </si>
  <si>
    <t>0085</t>
  </si>
  <si>
    <t>0086</t>
  </si>
  <si>
    <t>0088</t>
  </si>
  <si>
    <t>0087</t>
  </si>
  <si>
    <t>0100</t>
  </si>
  <si>
    <t>0101</t>
  </si>
  <si>
    <t>BANDEJA DE ESCRITORIO 2/1 NEGRA</t>
  </si>
  <si>
    <t>0102</t>
  </si>
  <si>
    <t>0103</t>
  </si>
  <si>
    <t>0104</t>
  </si>
  <si>
    <t>0105</t>
  </si>
  <si>
    <t xml:space="preserve">                                              </t>
  </si>
  <si>
    <t xml:space="preserve">                              </t>
  </si>
  <si>
    <t xml:space="preserve">Los códigos de bienes Nacionales NO aplican para esta relación de Materiales de oficinas. </t>
  </si>
  <si>
    <t>0111</t>
  </si>
  <si>
    <t>REPUESTO DE AGENDA DE ESCRITORIOS</t>
  </si>
  <si>
    <t>AGEDA EJECUTIVA ,15. AÑO 2019</t>
  </si>
  <si>
    <t>ADQUISICION</t>
  </si>
  <si>
    <t>…..OBSERVACION….</t>
  </si>
  <si>
    <t>REGISTRO</t>
  </si>
  <si>
    <t>Papel de escritorio 2.3.3.1</t>
  </si>
  <si>
    <t xml:space="preserve">      Materiales de limpieza 2.3.9.1</t>
  </si>
  <si>
    <t xml:space="preserve">    Utiles de escritorio of. Informatica 2.3.9.2</t>
  </si>
  <si>
    <t xml:space="preserve">                                    Productos de papel y carton 2.3.3.2</t>
  </si>
  <si>
    <t xml:space="preserve">                                 Productos de artes grafico 2.3.3.3 </t>
  </si>
  <si>
    <t xml:space="preserve">  Alimentos y bebidas 2.3.1.1</t>
  </si>
  <si>
    <t>POTE DE CHOCOLATE</t>
  </si>
  <si>
    <t>0106</t>
  </si>
  <si>
    <t>0107</t>
  </si>
  <si>
    <t>0108</t>
  </si>
  <si>
    <t>0109</t>
  </si>
  <si>
    <t>0112</t>
  </si>
  <si>
    <t xml:space="preserve">CAJAS DE GRAPAS STANDAR </t>
  </si>
  <si>
    <t>CAJAS DE CLIP GRANDE 10/1</t>
  </si>
  <si>
    <t>DVD</t>
  </si>
  <si>
    <t>CAJAS DE LAPIZ DE CARBOM 12/1</t>
  </si>
  <si>
    <t>0115</t>
  </si>
  <si>
    <t>0116</t>
  </si>
  <si>
    <t>PORTADAS Y CONTRA PORTADAS TRANSPARENTE 50/1</t>
  </si>
  <si>
    <t>CAJA DE RESALTADORES 12/1</t>
  </si>
  <si>
    <t>0117</t>
  </si>
  <si>
    <t>0118</t>
  </si>
  <si>
    <t>0119</t>
  </si>
  <si>
    <t>CAJA DE BORRA DE LECHE BLANCA</t>
  </si>
  <si>
    <t>TALONARIO DE RECIBO</t>
  </si>
  <si>
    <t>05/27/2019</t>
  </si>
  <si>
    <t>0120</t>
  </si>
  <si>
    <t>0121</t>
  </si>
  <si>
    <t>TUBO LED 18W 6500K</t>
  </si>
  <si>
    <t>ROTOMARTILLO 1/8 800W SDS PLU DEWA</t>
  </si>
  <si>
    <t>LIJA D/AGUA 9X 11-220 NORTO</t>
  </si>
  <si>
    <t>THINNER TH -1000</t>
  </si>
  <si>
    <t xml:space="preserve">DISOLVERTE P/PINT AGUARRAS </t>
  </si>
  <si>
    <t>CANO MADEOLEO NO.23 CAOBA AMERICANA 100G</t>
  </si>
  <si>
    <t>MASKING TAPE VERDE 233 3/4X50 YD 3M</t>
  </si>
  <si>
    <t>ESTOPA PAQUETE ATLAS 400G</t>
  </si>
  <si>
    <t>0122</t>
  </si>
  <si>
    <t>0123</t>
  </si>
  <si>
    <t>0124</t>
  </si>
  <si>
    <t>0125</t>
  </si>
  <si>
    <t>0126</t>
  </si>
  <si>
    <t>0127</t>
  </si>
  <si>
    <t>0128</t>
  </si>
  <si>
    <t>0129</t>
  </si>
  <si>
    <t>0131</t>
  </si>
  <si>
    <t>0132</t>
  </si>
  <si>
    <t>0133</t>
  </si>
  <si>
    <t xml:space="preserve">ESTUCHE PROCTETOR P/ DISCO DURO </t>
  </si>
  <si>
    <t>IMPRESORA MULTIF. HP LASERJET PRO 400</t>
  </si>
  <si>
    <t>0134</t>
  </si>
  <si>
    <t>0135</t>
  </si>
  <si>
    <t>0136</t>
  </si>
  <si>
    <t>0137</t>
  </si>
  <si>
    <t xml:space="preserve">LIBRO RECOR </t>
  </si>
  <si>
    <t>0138</t>
  </si>
  <si>
    <t>PERFORADORA DE TRES HOYOS</t>
  </si>
  <si>
    <t>0139</t>
  </si>
  <si>
    <t xml:space="preserve">MARCADOR RESALTADOR DE COLORES </t>
  </si>
  <si>
    <t>0140</t>
  </si>
  <si>
    <t>0141</t>
  </si>
  <si>
    <t>CINTA ADHESIVA 2/50 CLEAR</t>
  </si>
  <si>
    <t>0142</t>
  </si>
  <si>
    <t>0143</t>
  </si>
  <si>
    <t>PORTA CLIX</t>
  </si>
  <si>
    <t>PORTA LAPIZ</t>
  </si>
  <si>
    <t xml:space="preserve">LAMINADORAS DE CARNE </t>
  </si>
  <si>
    <t>PEGAMENTO GEL UHU 50 ml</t>
  </si>
  <si>
    <t>PEGAMENTO LIQUIDO UHU 125 ml</t>
  </si>
  <si>
    <t>4/27/2019</t>
  </si>
  <si>
    <t>0144</t>
  </si>
  <si>
    <r>
      <t xml:space="preserve">       </t>
    </r>
    <r>
      <rPr>
        <sz val="18"/>
        <color theme="1"/>
        <rFont val="Monotype Corsiva"/>
        <family val="4"/>
      </rPr>
      <t>SERVICIO GEOLÓGICO NACIONAL</t>
    </r>
  </si>
  <si>
    <t>AGEDA 15/2 AÑO 2020</t>
  </si>
  <si>
    <t>MEMORIA DDR3 4GB KINGSTON</t>
  </si>
  <si>
    <t xml:space="preserve">  </t>
  </si>
  <si>
    <t>06/19/2020</t>
  </si>
  <si>
    <t>JABON LIQUIDO CUABA LIMAR GALON</t>
  </si>
  <si>
    <t>PAPEL TOALLA PARA COSINA MAR, GAVIOTA</t>
  </si>
  <si>
    <t>06/19/2010</t>
  </si>
  <si>
    <t>CAJAS DE CLIP BILLETERO ARTESCO 51MM</t>
  </si>
  <si>
    <t>CAJAS DE CLIP BILLETERO ARTESCO 32MM</t>
  </si>
  <si>
    <t>CAJAS DE CLIP BILLETERO ARTESCO 19MM</t>
  </si>
  <si>
    <t>CAJAS DE CLIP PEQUENO 10/1</t>
  </si>
  <si>
    <t>0145</t>
  </si>
  <si>
    <t>PAQ SEPARADOR DE CARPETA 10/1</t>
  </si>
  <si>
    <t>MARCADOR PERMANENTE NEGRO</t>
  </si>
  <si>
    <t>0146</t>
  </si>
  <si>
    <t>0147</t>
  </si>
  <si>
    <t>MARCADOR PERMANENTE AZUL</t>
  </si>
  <si>
    <t>RESMA DE PAPEL HILO BLANCO  8/11</t>
  </si>
  <si>
    <t>0149</t>
  </si>
  <si>
    <t>CAJAS DE CLIP BILLETERO ARTESCO 25MM</t>
  </si>
  <si>
    <t>0150</t>
  </si>
  <si>
    <t>CAJAS DE BANDITAS DE GOMAS NO.18</t>
  </si>
  <si>
    <t>MARCADOR PERMANENTE ROJO</t>
  </si>
  <si>
    <t>RESMA 8 1/2 x 11</t>
  </si>
  <si>
    <t>16/032021</t>
  </si>
  <si>
    <t>RESMA DE PAPEL HILO AMARILLO  8/11</t>
  </si>
  <si>
    <t>CINTA ADHESIVA 2/100 CLEAR (GRANDES)</t>
  </si>
  <si>
    <t>REGLAS (PEQUENA)</t>
  </si>
  <si>
    <t>CARPETA BLANCA</t>
  </si>
  <si>
    <t>CARPETA AZUL</t>
  </si>
  <si>
    <t>MOUSE</t>
  </si>
  <si>
    <t>CAJA DE GRAPA GRANDE 23/13</t>
  </si>
  <si>
    <t>SACA GRAPA</t>
  </si>
  <si>
    <t>CAJA DE GRAPA 23/17</t>
  </si>
  <si>
    <t xml:space="preserve">COLA BLANCA </t>
  </si>
  <si>
    <t>BOLIGRAFO ROJO</t>
  </si>
  <si>
    <t>LIMPIA CRISTAL</t>
  </si>
  <si>
    <t>GALON</t>
  </si>
  <si>
    <t>ALCOHOL</t>
  </si>
  <si>
    <t>DESIFECTANTE</t>
  </si>
  <si>
    <t xml:space="preserve">GEL ANTIBACTERIAL </t>
  </si>
  <si>
    <t>BOLIGRAFO PUNTA METALICA</t>
  </si>
  <si>
    <t>CERA PARA CONTAR</t>
  </si>
  <si>
    <t xml:space="preserve">ROLLO DE PAPEL SUMADORA </t>
  </si>
  <si>
    <t>DISPENSADOR</t>
  </si>
  <si>
    <t>BASE COMP</t>
  </si>
  <si>
    <t>REGLAS GRANDES</t>
  </si>
  <si>
    <t>CORRECTOR TIPO PENS</t>
  </si>
  <si>
    <t>LIBRETA RAYADA 8/1/2 X 11</t>
  </si>
  <si>
    <t>UNID</t>
  </si>
  <si>
    <t>CARPETA   NEGRA</t>
  </si>
  <si>
    <t>COBER DE TABLET</t>
  </si>
  <si>
    <t>SOBRE DE CARTA DE HILO</t>
  </si>
  <si>
    <t>SOBRE DE CARTA BLANCO</t>
  </si>
  <si>
    <t xml:space="preserve">Espiral 12 CM </t>
  </si>
  <si>
    <t>Espiral 25 CM</t>
  </si>
  <si>
    <t>20/04/2021</t>
  </si>
  <si>
    <t>LYSOL DESINF</t>
  </si>
  <si>
    <t>AEROSOL 19 OZ</t>
  </si>
  <si>
    <t>BANDEJA DE ESCRITORIO DE METAL  2/1 NEGRA</t>
  </si>
  <si>
    <t xml:space="preserve"> </t>
  </si>
  <si>
    <t>DISCO DURO DE 2,0 TERA SEAGATE</t>
  </si>
  <si>
    <t>236304</t>
  </si>
  <si>
    <t>PALA TRAMITINA 71</t>
  </si>
  <si>
    <t xml:space="preserve">PICO BELLOTA 36 pulg MANGO DE MADERA </t>
  </si>
  <si>
    <t xml:space="preserve"> Enc. Depto. Administrativo Financiero</t>
  </si>
  <si>
    <t>Aprobado por :</t>
  </si>
  <si>
    <t>FUNDA DE MENTA DE CAFÉ COLOMBINA   100/1</t>
  </si>
  <si>
    <t>FRASCO CREMORA 35 OZ</t>
  </si>
  <si>
    <t>PAPEL TOALLA CENTER PULL JUMBO 6/1</t>
  </si>
  <si>
    <t xml:space="preserve">ETIQUETAS AUTOADHESIVAS PARA FOLDER  LABELS </t>
  </si>
  <si>
    <t xml:space="preserve">ARTICULO FERRETERO </t>
  </si>
  <si>
    <t>46181528</t>
  </si>
  <si>
    <t xml:space="preserve">CAPAS IMPERMIABLES </t>
  </si>
  <si>
    <t>31162402</t>
  </si>
  <si>
    <t xml:space="preserve">LLAVINES PARA PUERTAS </t>
  </si>
  <si>
    <t xml:space="preserve">CAJA DE HERRAMIENTAS </t>
  </si>
  <si>
    <t xml:space="preserve">CHALECOS REFLECTIVOS </t>
  </si>
  <si>
    <t xml:space="preserve">BOMBILLO DE BAJO CONSUMO +2 DE 13W CONSUMO </t>
  </si>
  <si>
    <t xml:space="preserve">EXTENCION ELECTRICA 14/3 DE 15 PIES, COLOR MAMEY </t>
  </si>
  <si>
    <t xml:space="preserve"> TONNER Y CARTUCHOS </t>
  </si>
  <si>
    <t>CARTUCHO 711CZ  132A AMARILLO</t>
  </si>
  <si>
    <t xml:space="preserve">CARTUCHO 711CZ  131A ROJO </t>
  </si>
  <si>
    <t>CARTUCHO 711CZ  133A NEGRO</t>
  </si>
  <si>
    <t>TONER HP 954XL N9484A  NEGRO</t>
  </si>
  <si>
    <t>TONER HP 954XL N9472A  AZUL</t>
  </si>
  <si>
    <t>0055</t>
  </si>
  <si>
    <t>TONER HP 954XL N9480A  AMARILLO</t>
  </si>
  <si>
    <t>TONER HP 954XL N9476A  ROJO</t>
  </si>
  <si>
    <t xml:space="preserve">TONER CANON 132 CB543A ROJO </t>
  </si>
  <si>
    <t>TONER CANON 132 CB542A AMARILLO</t>
  </si>
  <si>
    <t>TONER CANON 132 CB541A AZUL</t>
  </si>
  <si>
    <t>TONER CANON 132 CB540A NEGRO</t>
  </si>
  <si>
    <t>MEMORIA DDR4 8GB 2666MHZ PN3-12800 NON-ECC</t>
  </si>
  <si>
    <t>MEMORIA USB 32GB DATA TRAVELER  SE9</t>
  </si>
  <si>
    <t>MEMORIA USB 128GB DATA TRAVELER  SE9</t>
  </si>
  <si>
    <t xml:space="preserve">SACAPUNTA ELECTRICO BLACK </t>
  </si>
  <si>
    <t>CARPETAS DE 3 HOYOS 1,5  C/C  COLOR AZUL</t>
  </si>
  <si>
    <t>DISCO DURO DE 5 TB</t>
  </si>
  <si>
    <t>CABLE ADAPTADOR VG DE 9,8 PIE</t>
  </si>
  <si>
    <t>MAUSE M 190 INALAMBRICO OPTIMO RECEPTOR USB</t>
  </si>
  <si>
    <t xml:space="preserve">DISCO DURO USB 2TB </t>
  </si>
  <si>
    <t>ROLLO DE PAPEL 36*150P/PLOTER CONO 2PULG.</t>
  </si>
  <si>
    <t>106</t>
  </si>
  <si>
    <t>RETARDADOR DE PINTURA</t>
  </si>
  <si>
    <t>TONER HP410A       CF412A AMARILLO</t>
  </si>
  <si>
    <t>TONER HP305A    CE413A ROJO</t>
  </si>
  <si>
    <t xml:space="preserve">TONER HP305A    CE412A AMARILLO </t>
  </si>
  <si>
    <t xml:space="preserve">TONER HP305A    CE411A AZUL </t>
  </si>
  <si>
    <t>TONER HP305A    CE41OA NEGRO</t>
  </si>
  <si>
    <t xml:space="preserve">TONER HP130A      CF351A  AZUL </t>
  </si>
  <si>
    <t xml:space="preserve">TONER HP130A      CF352A  AMARILLO </t>
  </si>
  <si>
    <t>TONER HP130A      CF350A  NEGRO</t>
  </si>
  <si>
    <t>TONER  HP130A     CF353A  ROJO</t>
  </si>
  <si>
    <t>TONER HP126A      CE312A  AMARILLO</t>
  </si>
  <si>
    <t>TONER HP126A      CE310A  NEGRO</t>
  </si>
  <si>
    <t>059</t>
  </si>
  <si>
    <t>TONER LEXMARK   X463  NEGRO</t>
  </si>
  <si>
    <t>TONER LEXMARK   E260  NEGRO</t>
  </si>
  <si>
    <t>TONER HP125A    CB541  AZUL</t>
  </si>
  <si>
    <t>TONER HP125A    CB542  AMARILLO</t>
  </si>
  <si>
    <t>TONER HP125A    CB543  ROJO</t>
  </si>
  <si>
    <t>TONER HP131A    CF210  NEGRO</t>
  </si>
  <si>
    <t>TONER HP131A    CF211  AZUL</t>
  </si>
  <si>
    <t>TONER HP131A    CF212  AMARILLO</t>
  </si>
  <si>
    <t>TONER HP131A    CF213  ROJO</t>
  </si>
  <si>
    <t>CARTUCHO HP 60  NEGRO </t>
  </si>
  <si>
    <t>CARTUCHO HP 60  COLOR  </t>
  </si>
  <si>
    <t>CARTUCHO HP 22  NEGRO </t>
  </si>
  <si>
    <t>CARTUCHO HP 22  COLOR  </t>
  </si>
  <si>
    <t>CARTUCHO HP 15  NEGRO </t>
  </si>
  <si>
    <t>CARTUCHO HP 15  COLOR  </t>
  </si>
  <si>
    <t>CARTUCHO HP 920XL     NEGRO </t>
  </si>
  <si>
    <t>CARTUCHO HP 920 XL    AZUL  </t>
  </si>
  <si>
    <t>CARTUCHO HP 920 XL    ROJO </t>
  </si>
  <si>
    <t>CARTUCHO HP 920XL     AMARILLO   </t>
  </si>
  <si>
    <t>CARTUCHO HP 711         NEGRO </t>
  </si>
  <si>
    <t>CARTUCHO HP 711         AZUL  </t>
  </si>
  <si>
    <t>CARTUCHO HP 711         ROJO </t>
  </si>
  <si>
    <t>CARTUCHO HP 711         AMARILLO   </t>
  </si>
  <si>
    <t>CARTUCHO HP 954         NEGRO </t>
  </si>
  <si>
    <t>CARTUCHO HP 954         AZUL  </t>
  </si>
  <si>
    <t>CARTUCHO HP 954         ROJO </t>
  </si>
  <si>
    <t>CARTUCHO HP 954        AMARILLO   </t>
  </si>
  <si>
    <t>TONER HP410A       CF410A NEGRO</t>
  </si>
  <si>
    <t xml:space="preserve"> inicial </t>
  </si>
  <si>
    <t>DETERGENTE EN POLVO 30 LIBRA</t>
  </si>
  <si>
    <t>SACO</t>
  </si>
  <si>
    <t>135</t>
  </si>
  <si>
    <t>PIEDRA DE OLOR PARA INODORO</t>
  </si>
  <si>
    <t>147</t>
  </si>
  <si>
    <t xml:space="preserve">      RELACION DE INVETARIO DE MATERIAL GASTABLE, TRIMESTRE JULIO /SEPTIEMBRE / 2022</t>
  </si>
  <si>
    <t>5611204</t>
  </si>
  <si>
    <t xml:space="preserve">SILLONES EJECUTIVOS COLOR NEGRO </t>
  </si>
  <si>
    <t xml:space="preserve">AMARIO DE METAL DE OFICINA COLOR GRIS </t>
  </si>
  <si>
    <t>24112405</t>
  </si>
  <si>
    <t>PANELES DIVISOR FACILITY 1,50m</t>
  </si>
  <si>
    <t xml:space="preserve">MOLDURA FACILITY 1,50m intalado en el panel </t>
  </si>
  <si>
    <t xml:space="preserve">MOLDURA FACILITY 1,50m intalado en la pared </t>
  </si>
  <si>
    <t xml:space="preserve">GANCHO UNIVERSAL PARA TOPE </t>
  </si>
  <si>
    <t>26111702</t>
  </si>
  <si>
    <t>PILA RECARGABLE DOBLE AA 4/1</t>
  </si>
  <si>
    <t>LAMPARA   LED T8/9W</t>
  </si>
  <si>
    <t>40141610</t>
  </si>
  <si>
    <t xml:space="preserve">JUEGO DE FLOTADORES PARA INODORO </t>
  </si>
  <si>
    <t>40141702</t>
  </si>
  <si>
    <t xml:space="preserve">MECLADORA PARA COCINA DE DOS ENTRADA </t>
  </si>
  <si>
    <t xml:space="preserve">MECLADORA PARA BAÑO DE UNA  ENTRADA </t>
  </si>
  <si>
    <t>55121617</t>
  </si>
  <si>
    <t xml:space="preserve">CINTA ADHESIVA GRIS </t>
  </si>
  <si>
    <t>12171501</t>
  </si>
  <si>
    <t xml:space="preserve">PINTURA ACRILICA COLOR BLANCO HUESO </t>
  </si>
  <si>
    <t>31162702</t>
  </si>
  <si>
    <t xml:space="preserve">RESBALADORES PARA SILLAS SECRETARIALES </t>
  </si>
  <si>
    <t>31162407</t>
  </si>
  <si>
    <t xml:space="preserve">LLAVIN CIRCULAR </t>
  </si>
  <si>
    <t xml:space="preserve">CANDADO MEDIANO CON SU LLAVE </t>
  </si>
  <si>
    <t xml:space="preserve">AZUCAR DE DIETA LIQUIDA </t>
  </si>
  <si>
    <t>CAJA</t>
  </si>
  <si>
    <t>47131803</t>
  </si>
  <si>
    <t xml:space="preserve">REMOVERDOR DE MANCHA PAARA PISO </t>
  </si>
  <si>
    <t>47131603</t>
  </si>
  <si>
    <t xml:space="preserve">BRILLO VERDE </t>
  </si>
  <si>
    <t xml:space="preserve">BRILLO GORDO </t>
  </si>
  <si>
    <t>CARPETA  TIPO TABLA CON FIANZA METALICA 9*14 A4</t>
  </si>
  <si>
    <t>007</t>
  </si>
  <si>
    <t>POSTIP 3*3</t>
  </si>
  <si>
    <t>140</t>
  </si>
  <si>
    <t>MEMORIA USB 64GB DATA TRAVELER  SE9</t>
  </si>
  <si>
    <t xml:space="preserve"> TONER CANON 119 NEGRO </t>
  </si>
  <si>
    <t>PAQUETE DE SEÑALIZADORES DE FIRMA TIPO FLECHA</t>
  </si>
  <si>
    <t xml:space="preserve">CABLE USB TIPA A MACHO /HEMBRA DE 20 PIES </t>
  </si>
  <si>
    <t xml:space="preserve">PAQUETE DE LAMINA PARA ENCUADERNAR </t>
  </si>
  <si>
    <t xml:space="preserve">   </t>
  </si>
  <si>
    <t>CANO MADEOLEO NO.2 CAOBA AMERICANA</t>
  </si>
  <si>
    <r>
      <rPr>
        <b/>
        <sz val="22"/>
        <color theme="1"/>
        <rFont val="Calibri"/>
        <family val="2"/>
        <scheme val="minor"/>
      </rPr>
      <t>Av. Winston Churchill No. 75 
Edificio “J. F. Martínez”, 3er. Piso, Piantini
Santo Domingo, República Dominicana 
Teléfono: 809-732-0363</t>
    </r>
    <r>
      <rPr>
        <sz val="22"/>
        <color theme="1"/>
        <rFont val="Calibri"/>
        <family val="2"/>
        <scheme val="minor"/>
      </rPr>
      <t xml:space="preserve">   
</t>
    </r>
    <r>
      <rPr>
        <b/>
        <sz val="22"/>
        <color theme="1"/>
        <rFont val="Calibri"/>
        <family val="2"/>
        <scheme val="minor"/>
      </rPr>
      <t>E-Mail:</t>
    </r>
    <r>
      <rPr>
        <sz val="22"/>
        <color theme="1"/>
        <rFont val="Calibri"/>
        <family val="2"/>
        <scheme val="minor"/>
      </rPr>
      <t xml:space="preserve">  </t>
    </r>
    <r>
      <rPr>
        <sz val="22"/>
        <color theme="8" tint="-0.249977111117893"/>
        <rFont val="Calibri"/>
        <family val="2"/>
        <scheme val="minor"/>
      </rPr>
      <t xml:space="preserve">clalane@sgn.gob.do </t>
    </r>
    <r>
      <rPr>
        <sz val="22"/>
        <color theme="1"/>
        <rFont val="Calibri"/>
        <family val="2"/>
        <scheme val="minor"/>
      </rPr>
      <t xml:space="preserve">
</t>
    </r>
    <r>
      <rPr>
        <b/>
        <sz val="22"/>
        <color theme="1"/>
        <rFont val="Calibri"/>
        <family val="2"/>
        <scheme val="minor"/>
      </rPr>
      <t>Web Site:</t>
    </r>
    <r>
      <rPr>
        <sz val="22"/>
        <color theme="1"/>
        <rFont val="Calibri"/>
        <family val="2"/>
        <scheme val="minor"/>
      </rPr>
      <t xml:space="preserve"> </t>
    </r>
    <r>
      <rPr>
        <sz val="22"/>
        <color theme="8" tint="-0.249977111117893"/>
        <rFont val="Calibri"/>
        <family val="2"/>
        <scheme val="minor"/>
      </rPr>
      <t>www.sgn.gob.do</t>
    </r>
    <r>
      <rPr>
        <sz val="22"/>
        <color theme="1"/>
        <rFont val="Calibri"/>
        <family val="2"/>
        <scheme val="minor"/>
      </rPr>
      <t xml:space="preserve">
</t>
    </r>
    <r>
      <rPr>
        <b/>
        <sz val="22"/>
        <color theme="1"/>
        <rFont val="Calibri"/>
        <family val="2"/>
        <scheme val="minor"/>
      </rPr>
      <t>RNC: 430098329</t>
    </r>
    <r>
      <rPr>
        <sz val="22"/>
        <color theme="1"/>
        <rFont val="Calibri"/>
        <family val="2"/>
        <scheme val="minor"/>
      </rPr>
      <t xml:space="preserve">
</t>
    </r>
  </si>
  <si>
    <t xml:space="preserve">AMBIENTADOR PINITO VARIOS AROMAS </t>
  </si>
  <si>
    <t>DESGRASANTE</t>
  </si>
  <si>
    <t>Fernando González Sánchez</t>
  </si>
  <si>
    <t>SERVICIO GEOLÓGICO NACIONAL</t>
  </si>
  <si>
    <t xml:space="preserve">Realizado por: </t>
  </si>
  <si>
    <t xml:space="preserve">CARTUCHO 711CZ  130A   AZUL </t>
  </si>
  <si>
    <t>PAPEL CARBON 8  1/2X11 NEGRO</t>
  </si>
  <si>
    <t>DISCO DURO DE 2TB</t>
  </si>
  <si>
    <t>DISCO DURO DE 10 TB</t>
  </si>
  <si>
    <t>8/9/20232</t>
  </si>
  <si>
    <t>GALON DE VINAGRE</t>
  </si>
  <si>
    <t>DESIFECTANTEE EN FRASCO</t>
  </si>
  <si>
    <t xml:space="preserve"> CAJA DE FORDEL 8 1/2 * 11</t>
  </si>
  <si>
    <t>CAJA  FOLDER 8.5 /13</t>
  </si>
  <si>
    <t>MEMORIA USB 256GB DATA TRAVELER  SE9</t>
  </si>
  <si>
    <t>CORRECTOR LIQUIDO BLANCO T/PEN</t>
  </si>
  <si>
    <t xml:space="preserve">MOCHILA PARA LATTOP </t>
  </si>
  <si>
    <t>CAJA FOLDERS/PENDAFLEX8,5/11</t>
  </si>
  <si>
    <t>CAJA FOLDERS/PENDAFLEX8,5/13</t>
  </si>
  <si>
    <t>SOBRE MANILA 12 *14 500/1</t>
  </si>
  <si>
    <t>SOBRE MANILA 10* 15 500/1</t>
  </si>
  <si>
    <t>SOBRE MANILA 9 *12 500/1</t>
  </si>
  <si>
    <t>JABON LIQUIDO DE MANO EN GALON</t>
  </si>
  <si>
    <t>JABON LIQUIDO PARA FREGAR EN GALON</t>
  </si>
  <si>
    <t>CUBETA  /EXPRIMIDOR</t>
  </si>
  <si>
    <t>0148</t>
  </si>
  <si>
    <t xml:space="preserve">PAQT DE 10 DE GANCHO ACCO </t>
  </si>
  <si>
    <t>06/19/2019</t>
  </si>
  <si>
    <t>PAQ DE FUNDAS 1,000 17X22</t>
  </si>
  <si>
    <t xml:space="preserve">Ana Hamceli Mercedes Reyes </t>
  </si>
  <si>
    <t>CAJA DE GRAPA GRANDE 26/6</t>
  </si>
  <si>
    <t>1,000 FUNDAS 17X22</t>
  </si>
  <si>
    <t xml:space="preserve">             Enc.  Almacen               </t>
  </si>
  <si>
    <t>TONER CANON 131A COLOR NEGRO</t>
  </si>
  <si>
    <t>TONER CANON 131A COLOR MAGENTA</t>
  </si>
  <si>
    <t>TONER CANON 131A COLOR AMARILLO</t>
  </si>
  <si>
    <t>TONER CANON 131A COLOR CYAN</t>
  </si>
  <si>
    <t xml:space="preserve">CARTUCHO 812XL, CYAN PARA  IMPRESORA EPSON </t>
  </si>
  <si>
    <t xml:space="preserve">CARTUCHO 812XL, BLACK PARA  IMPRESORA EPSON </t>
  </si>
  <si>
    <t xml:space="preserve">CARTUCHO 812XL, YELLOW PARA  IMPRESORA EPSON </t>
  </si>
  <si>
    <t xml:space="preserve">CARTUCHO 812XL, MAGENTA PARA  IMPRESORA EPSON 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</si>
  <si>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</si>
  <si>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</si>
  <si>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</si>
  <si>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</si>
  <si>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</si>
  <si>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</si>
  <si>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</si>
  <si>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</si>
  <si>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</si>
  <si>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</si>
  <si>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TONER HP410A       CF411A CYAN AZUL</t>
  </si>
  <si>
    <t xml:space="preserve">TONER HP410A       CF413A  MAGENTA </t>
  </si>
  <si>
    <t>CARTUCHO 938, COLOR NEGRO PARA IMPRESORA HP</t>
  </si>
  <si>
    <t>CARTUCHO 938, COLOR CYAN PARA IMPRESORA HP</t>
  </si>
  <si>
    <t>0071</t>
  </si>
  <si>
    <t>CARTUCHO 938, COLOR YELLOW PARA IMPRESORA HP</t>
  </si>
  <si>
    <t>CARTUCHO 938, COLOR MAGENTA PARA IMPRESORA HP</t>
  </si>
  <si>
    <t>TONER HP126A      CE311A  CYAN AZUL</t>
  </si>
  <si>
    <t>TONER HP126A      CE313A  MAGENTA</t>
  </si>
  <si>
    <t>FUNDA DE LECHE EN POLVO RICA 2.200 GRAMOS</t>
  </si>
  <si>
    <t>FUNDA DE 55 GALONES 36X54 5/1</t>
  </si>
  <si>
    <t>GUANTES DE GOMA P/LIPIEZA  2/1</t>
  </si>
  <si>
    <t>SWAPER MARCA KIKA SUAPE</t>
  </si>
  <si>
    <t xml:space="preserve">ESPONJA PARA FREGAR </t>
  </si>
  <si>
    <t>TOALLA MICROFIBRA (LANILLA (1) )</t>
  </si>
  <si>
    <t>FUNDADE 13 GALONES 10/1 24x30</t>
  </si>
  <si>
    <t>28/4/025</t>
  </si>
  <si>
    <t>FUNDA PLAST. 30 GALONES 10/1UD</t>
  </si>
  <si>
    <t>0036</t>
  </si>
  <si>
    <t>FRASCO ATOMIZADOR 1/1</t>
  </si>
  <si>
    <t>LANILLA PARA VEHICULO (TELA ROJO)</t>
  </si>
  <si>
    <t>3 juego</t>
  </si>
  <si>
    <t xml:space="preserve">      RELACION DE INVETARIO DE MATERIAL GASTABLE, TRIMESTRE  ABRIL /JUNIO/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</si>
</sst>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0" x14ac:knownFonts="1">
    <font>
      <sz val="11"/>
      <color theme="1"/>
      <name val="Calibri"/>
      <family val="2"/>
      <scheme val="minor"/>
    </font>
    <font>
      <sz val="14.5"/>
      <name val="Arial"/>
      <family val="2"/>
    </font>
    <font>
      <sz val="13.5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8"/>
      <color theme="1"/>
      <name val="Monotype Corsiva"/>
      <family val="4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222222"/>
      <name val="Calibri"/>
      <family val="2"/>
      <scheme val="minor"/>
    </font>
    <font>
      <sz val="24"/>
      <name val="Arial"/>
      <family val="2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rgb="FF000000"/>
      <name val="Times New Roman"/>
      <family val="1"/>
    </font>
    <font>
      <b/>
      <sz val="24"/>
      <color rgb="FF000000"/>
      <name val="Calibri"/>
      <family val="2"/>
      <scheme val="minor"/>
    </font>
    <font>
      <sz val="24"/>
      <color rgb="FF000000"/>
      <name val="Calibri"/>
      <family val="2"/>
      <scheme val="minor"/>
    </font>
    <font>
      <sz val="24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4"/>
      <color theme="1"/>
      <name val="Times New Roman"/>
      <family val="1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8" tint="-0.249977111117893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222222"/>
      <name val="Arial"/>
      <family val="2"/>
    </font>
    <font>
      <sz val="14"/>
      <color rgb="FF222222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14"/>
      <color rgb="FF000000"/>
      <name val="Arial"/>
      <family val="2"/>
    </font>
    <font>
      <sz val="15"/>
      <color rgb="FF050505"/>
      <name val="Segoe UI Historic"/>
      <family val="2"/>
    </font>
    <font>
      <b/>
      <sz val="12"/>
      <color rgb="FF222222"/>
      <name val="Arial"/>
      <family val="2"/>
    </font>
    <font>
      <sz val="12"/>
      <color rgb="FF22222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9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4" fontId="4" fillId="0" borderId="1" xfId="0" applyNumberFormat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0" fillId="0" borderId="0" xfId="0" applyAlignment="1">
      <alignment vertical="top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12" fillId="2" borderId="1" xfId="0" applyFont="1" applyFill="1" applyBorder="1"/>
    <xf numFmtId="4" fontId="0" fillId="0" borderId="3" xfId="0" applyNumberFormat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 vertical="top" wrapText="1"/>
    </xf>
    <xf numFmtId="0" fontId="8" fillId="0" borderId="1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2" fillId="0" borderId="0" xfId="0" applyFont="1"/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10" xfId="0" applyFont="1" applyFill="1" applyBorder="1" applyAlignment="1">
      <alignment vertical="center"/>
    </xf>
    <xf numFmtId="0" fontId="16" fillId="3" borderId="13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left" vertical="center" wrapText="1"/>
    </xf>
    <xf numFmtId="0" fontId="17" fillId="3" borderId="14" xfId="0" applyFont="1" applyFill="1" applyBorder="1" applyAlignment="1">
      <alignment vertical="center" wrapText="1"/>
    </xf>
    <xf numFmtId="0" fontId="17" fillId="3" borderId="1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2" borderId="1" xfId="0" applyFill="1" applyBorder="1"/>
    <xf numFmtId="0" fontId="3" fillId="2" borderId="1" xfId="0" applyFont="1" applyFill="1" applyBorder="1" applyAlignment="1">
      <alignment vertical="center" wrapText="1"/>
    </xf>
    <xf numFmtId="0" fontId="20" fillId="2" borderId="1" xfId="0" applyFont="1" applyFill="1" applyBorder="1"/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vertical="center" wrapText="1"/>
    </xf>
    <xf numFmtId="0" fontId="0" fillId="0" borderId="1" xfId="0" applyBorder="1" applyAlignment="1">
      <alignment horizontal="left"/>
    </xf>
    <xf numFmtId="0" fontId="0" fillId="0" borderId="1" xfId="0" applyBorder="1"/>
    <xf numFmtId="14" fontId="4" fillId="4" borderId="1" xfId="0" applyNumberFormat="1" applyFont="1" applyFill="1" applyBorder="1" applyAlignment="1">
      <alignment horizontal="left" vertical="top" wrapText="1"/>
    </xf>
    <xf numFmtId="49" fontId="7" fillId="4" borderId="1" xfId="0" applyNumberFormat="1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vertical="top" wrapText="1"/>
    </xf>
    <xf numFmtId="4" fontId="12" fillId="0" borderId="0" xfId="0" applyNumberFormat="1" applyFont="1" applyAlignment="1">
      <alignment horizontal="center" vertical="center" wrapText="1"/>
    </xf>
    <xf numFmtId="0" fontId="18" fillId="3" borderId="0" xfId="0" applyFont="1" applyFill="1" applyAlignment="1">
      <alignment horizontal="center" vertical="center" wrapText="1"/>
    </xf>
    <xf numFmtId="0" fontId="18" fillId="3" borderId="0" xfId="0" applyFont="1" applyFill="1" applyAlignment="1">
      <alignment horizontal="center"/>
    </xf>
    <xf numFmtId="0" fontId="16" fillId="3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19" fillId="3" borderId="18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 wrapText="1"/>
    </xf>
    <xf numFmtId="4" fontId="12" fillId="4" borderId="1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/>
    <xf numFmtId="0" fontId="22" fillId="0" borderId="0" xfId="0" applyFont="1" applyAlignment="1">
      <alignment horizontal="center"/>
    </xf>
    <xf numFmtId="0" fontId="22" fillId="0" borderId="0" xfId="0" applyFont="1" applyAlignment="1">
      <alignment vertical="top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6" fillId="4" borderId="8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center"/>
    </xf>
    <xf numFmtId="4" fontId="25" fillId="4" borderId="9" xfId="0" applyNumberFormat="1" applyFont="1" applyFill="1" applyBorder="1" applyAlignment="1">
      <alignment horizontal="center" vertical="center" wrapText="1"/>
    </xf>
    <xf numFmtId="0" fontId="28" fillId="0" borderId="0" xfId="0" applyFont="1"/>
    <xf numFmtId="0" fontId="22" fillId="2" borderId="0" xfId="0" applyFont="1" applyFill="1"/>
    <xf numFmtId="0" fontId="27" fillId="2" borderId="0" xfId="0" applyFont="1" applyFill="1"/>
    <xf numFmtId="0" fontId="22" fillId="2" borderId="0" xfId="0" applyFont="1" applyFill="1" applyAlignment="1">
      <alignment wrapText="1"/>
    </xf>
    <xf numFmtId="0" fontId="27" fillId="0" borderId="0" xfId="0" applyFont="1"/>
    <xf numFmtId="0" fontId="27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0" fontId="28" fillId="2" borderId="0" xfId="0" applyFont="1" applyFill="1"/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9" fillId="0" borderId="0" xfId="0" applyFont="1"/>
    <xf numFmtId="0" fontId="26" fillId="4" borderId="7" xfId="0" applyFont="1" applyFill="1" applyBorder="1" applyAlignment="1">
      <alignment horizontal="center" vertical="center" wrapText="1"/>
    </xf>
    <xf numFmtId="14" fontId="36" fillId="0" borderId="3" xfId="0" applyNumberFormat="1" applyFont="1" applyBorder="1" applyAlignment="1">
      <alignment horizontal="center" vertical="center" wrapText="1"/>
    </xf>
    <xf numFmtId="49" fontId="36" fillId="0" borderId="3" xfId="0" applyNumberFormat="1" applyFont="1" applyBorder="1" applyAlignment="1">
      <alignment horizontal="center" vertical="center" wrapText="1"/>
    </xf>
    <xf numFmtId="14" fontId="36" fillId="0" borderId="3" xfId="0" applyNumberFormat="1" applyFont="1" applyBorder="1" applyAlignment="1">
      <alignment horizontal="left" vertical="center" wrapText="1"/>
    </xf>
    <xf numFmtId="0" fontId="36" fillId="0" borderId="3" xfId="0" applyFont="1" applyBorder="1" applyAlignment="1">
      <alignment vertical="center" wrapText="1"/>
    </xf>
    <xf numFmtId="0" fontId="36" fillId="0" borderId="3" xfId="0" applyFont="1" applyBorder="1" applyAlignment="1">
      <alignment horizontal="center" vertical="center" wrapText="1"/>
    </xf>
    <xf numFmtId="4" fontId="36" fillId="0" borderId="3" xfId="0" applyNumberFormat="1" applyFont="1" applyBorder="1" applyAlignment="1">
      <alignment horizontal="center" vertical="center" wrapText="1"/>
    </xf>
    <xf numFmtId="49" fontId="36" fillId="0" borderId="2" xfId="0" applyNumberFormat="1" applyFont="1" applyBorder="1" applyAlignment="1">
      <alignment horizontal="center" vertical="center" wrapText="1"/>
    </xf>
    <xf numFmtId="0" fontId="36" fillId="0" borderId="2" xfId="0" applyFont="1" applyBorder="1" applyAlignment="1">
      <alignment vertical="center" wrapText="1"/>
    </xf>
    <xf numFmtId="0" fontId="36" fillId="0" borderId="2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4" fillId="4" borderId="6" xfId="0" applyFont="1" applyFill="1" applyBorder="1" applyAlignment="1">
      <alignment horizontal="center" vertical="center" wrapText="1"/>
    </xf>
    <xf numFmtId="0" fontId="36" fillId="4" borderId="6" xfId="0" applyFont="1" applyFill="1" applyBorder="1" applyAlignment="1">
      <alignment horizontal="center" vertical="center" wrapText="1"/>
    </xf>
    <xf numFmtId="4" fontId="34" fillId="4" borderId="11" xfId="0" applyNumberFormat="1" applyFont="1" applyFill="1" applyBorder="1" applyAlignment="1">
      <alignment horizontal="center" vertical="center" wrapText="1"/>
    </xf>
    <xf numFmtId="14" fontId="36" fillId="0" borderId="1" xfId="0" applyNumberFormat="1" applyFont="1" applyBorder="1" applyAlignment="1">
      <alignment horizontal="left" vertical="center" wrapText="1"/>
    </xf>
    <xf numFmtId="0" fontId="36" fillId="0" borderId="1" xfId="0" applyFont="1" applyBorder="1" applyAlignment="1">
      <alignment vertical="center" wrapText="1"/>
    </xf>
    <xf numFmtId="4" fontId="36" fillId="0" borderId="1" xfId="0" applyNumberFormat="1" applyFont="1" applyBorder="1" applyAlignment="1">
      <alignment horizontal="center" vertical="center" wrapText="1"/>
    </xf>
    <xf numFmtId="4" fontId="36" fillId="0" borderId="2" xfId="0" applyNumberFormat="1" applyFont="1" applyBorder="1" applyAlignment="1">
      <alignment horizontal="center" vertical="center" wrapText="1"/>
    </xf>
    <xf numFmtId="4" fontId="36" fillId="0" borderId="4" xfId="0" applyNumberFormat="1" applyFont="1" applyBorder="1" applyAlignment="1">
      <alignment horizontal="center" vertical="center" wrapText="1"/>
    </xf>
    <xf numFmtId="0" fontId="36" fillId="0" borderId="4" xfId="0" applyFont="1" applyBorder="1" applyAlignment="1">
      <alignment vertical="center" wrapText="1"/>
    </xf>
    <xf numFmtId="14" fontId="36" fillId="0" borderId="1" xfId="0" applyNumberFormat="1" applyFont="1" applyBorder="1" applyAlignment="1">
      <alignment horizontal="center" vertical="center" wrapText="1"/>
    </xf>
    <xf numFmtId="49" fontId="36" fillId="0" borderId="1" xfId="0" applyNumberFormat="1" applyFont="1" applyBorder="1" applyAlignment="1">
      <alignment horizontal="center" vertical="center" wrapText="1"/>
    </xf>
    <xf numFmtId="14" fontId="37" fillId="2" borderId="1" xfId="0" applyNumberFormat="1" applyFont="1" applyFill="1" applyBorder="1" applyAlignment="1">
      <alignment horizontal="center" vertical="center" wrapText="1"/>
    </xf>
    <xf numFmtId="49" fontId="37" fillId="2" borderId="1" xfId="0" applyNumberFormat="1" applyFont="1" applyFill="1" applyBorder="1" applyAlignment="1">
      <alignment horizontal="center" vertical="center" wrapText="1"/>
    </xf>
    <xf numFmtId="14" fontId="37" fillId="2" borderId="1" xfId="0" applyNumberFormat="1" applyFont="1" applyFill="1" applyBorder="1" applyAlignment="1">
      <alignment horizontal="left" vertical="center" wrapText="1"/>
    </xf>
    <xf numFmtId="0" fontId="37" fillId="2" borderId="1" xfId="0" applyFont="1" applyFill="1" applyBorder="1" applyAlignment="1">
      <alignment vertical="center" wrapText="1"/>
    </xf>
    <xf numFmtId="0" fontId="37" fillId="2" borderId="1" xfId="0" applyFont="1" applyFill="1" applyBorder="1" applyAlignment="1">
      <alignment horizontal="center" vertical="center" wrapText="1"/>
    </xf>
    <xf numFmtId="4" fontId="37" fillId="2" borderId="1" xfId="0" applyNumberFormat="1" applyFont="1" applyFill="1" applyBorder="1" applyAlignment="1">
      <alignment horizontal="center" vertical="center" wrapText="1"/>
    </xf>
    <xf numFmtId="0" fontId="36" fillId="4" borderId="5" xfId="0" applyFont="1" applyFill="1" applyBorder="1" applyAlignment="1">
      <alignment horizontal="center" vertical="center" wrapText="1"/>
    </xf>
    <xf numFmtId="49" fontId="36" fillId="4" borderId="6" xfId="0" applyNumberFormat="1" applyFont="1" applyFill="1" applyBorder="1" applyAlignment="1">
      <alignment horizontal="center" vertical="center" wrapText="1"/>
    </xf>
    <xf numFmtId="0" fontId="38" fillId="4" borderId="6" xfId="0" applyFont="1" applyFill="1" applyBorder="1" applyAlignment="1">
      <alignment horizontal="center"/>
    </xf>
    <xf numFmtId="4" fontId="34" fillId="4" borderId="6" xfId="0" applyNumberFormat="1" applyFont="1" applyFill="1" applyBorder="1" applyAlignment="1">
      <alignment horizontal="center" vertical="center" wrapText="1"/>
    </xf>
    <xf numFmtId="4" fontId="36" fillId="4" borderId="6" xfId="0" applyNumberFormat="1" applyFont="1" applyFill="1" applyBorder="1" applyAlignment="1">
      <alignment horizontal="center" vertical="center" wrapText="1"/>
    </xf>
    <xf numFmtId="4" fontId="33" fillId="4" borderId="11" xfId="0" applyNumberFormat="1" applyFont="1" applyFill="1" applyBorder="1" applyAlignment="1">
      <alignment horizontal="center" wrapText="1"/>
    </xf>
    <xf numFmtId="14" fontId="36" fillId="2" borderId="1" xfId="0" applyNumberFormat="1" applyFont="1" applyFill="1" applyBorder="1" applyAlignment="1">
      <alignment horizontal="center" vertical="center" wrapText="1"/>
    </xf>
    <xf numFmtId="49" fontId="36" fillId="2" borderId="1" xfId="0" applyNumberFormat="1" applyFont="1" applyFill="1" applyBorder="1" applyAlignment="1">
      <alignment horizontal="center" vertical="center" wrapText="1"/>
    </xf>
    <xf numFmtId="14" fontId="36" fillId="2" borderId="1" xfId="0" applyNumberFormat="1" applyFont="1" applyFill="1" applyBorder="1" applyAlignment="1">
      <alignment horizontal="left" vertical="center" wrapText="1"/>
    </xf>
    <xf numFmtId="0" fontId="36" fillId="2" borderId="3" xfId="0" applyFont="1" applyFill="1" applyBorder="1" applyAlignment="1">
      <alignment vertical="center" wrapText="1"/>
    </xf>
    <xf numFmtId="0" fontId="36" fillId="2" borderId="3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 wrapText="1"/>
    </xf>
    <xf numFmtId="4" fontId="36" fillId="2" borderId="1" xfId="0" applyNumberFormat="1" applyFont="1" applyFill="1" applyBorder="1" applyAlignment="1">
      <alignment horizontal="center" vertical="center" wrapText="1"/>
    </xf>
    <xf numFmtId="4" fontId="36" fillId="2" borderId="3" xfId="0" applyNumberFormat="1" applyFont="1" applyFill="1" applyBorder="1" applyAlignment="1">
      <alignment horizontal="center" vertical="center" wrapText="1"/>
    </xf>
    <xf numFmtId="14" fontId="37" fillId="0" borderId="1" xfId="0" applyNumberFormat="1" applyFont="1" applyBorder="1" applyAlignment="1">
      <alignment horizontal="center" vertical="center" wrapText="1"/>
    </xf>
    <xf numFmtId="49" fontId="37" fillId="0" borderId="1" xfId="0" applyNumberFormat="1" applyFont="1" applyBorder="1" applyAlignment="1">
      <alignment horizontal="center" vertical="center" wrapText="1"/>
    </xf>
    <xf numFmtId="14" fontId="37" fillId="0" borderId="1" xfId="0" applyNumberFormat="1" applyFont="1" applyBorder="1" applyAlignment="1">
      <alignment horizontal="left" vertical="center" wrapText="1"/>
    </xf>
    <xf numFmtId="0" fontId="37" fillId="0" borderId="3" xfId="0" applyFont="1" applyBorder="1" applyAlignment="1">
      <alignment vertical="center" wrapText="1"/>
    </xf>
    <xf numFmtId="0" fontId="37" fillId="0" borderId="3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4" fontId="37" fillId="0" borderId="1" xfId="0" applyNumberFormat="1" applyFont="1" applyBorder="1" applyAlignment="1">
      <alignment horizontal="center" vertical="center" wrapText="1"/>
    </xf>
    <xf numFmtId="4" fontId="37" fillId="0" borderId="3" xfId="0" applyNumberFormat="1" applyFont="1" applyBorder="1" applyAlignment="1">
      <alignment horizontal="center" vertical="center" wrapText="1"/>
    </xf>
    <xf numFmtId="0" fontId="36" fillId="2" borderId="1" xfId="0" applyFont="1" applyFill="1" applyBorder="1" applyAlignment="1">
      <alignment vertical="center" wrapText="1"/>
    </xf>
    <xf numFmtId="14" fontId="38" fillId="2" borderId="1" xfId="0" applyNumberFormat="1" applyFont="1" applyFill="1" applyBorder="1" applyAlignment="1">
      <alignment horizontal="center" vertical="center" wrapText="1"/>
    </xf>
    <xf numFmtId="49" fontId="38" fillId="2" borderId="1" xfId="0" applyNumberFormat="1" applyFont="1" applyFill="1" applyBorder="1" applyAlignment="1">
      <alignment horizontal="center" vertical="center" wrapText="1"/>
    </xf>
    <xf numFmtId="14" fontId="38" fillId="2" borderId="1" xfId="0" applyNumberFormat="1" applyFont="1" applyFill="1" applyBorder="1" applyAlignment="1">
      <alignment horizontal="left" vertical="center" wrapText="1"/>
    </xf>
    <xf numFmtId="0" fontId="38" fillId="2" borderId="2" xfId="0" applyFont="1" applyFill="1" applyBorder="1" applyAlignment="1">
      <alignment vertical="center" wrapText="1"/>
    </xf>
    <xf numFmtId="0" fontId="38" fillId="2" borderId="1" xfId="0" applyFont="1" applyFill="1" applyBorder="1" applyAlignment="1">
      <alignment horizontal="center" vertical="center" wrapText="1"/>
    </xf>
    <xf numFmtId="0" fontId="38" fillId="2" borderId="2" xfId="0" applyFont="1" applyFill="1" applyBorder="1" applyAlignment="1">
      <alignment horizontal="center" vertical="center" wrapText="1"/>
    </xf>
    <xf numFmtId="4" fontId="38" fillId="2" borderId="2" xfId="0" applyNumberFormat="1" applyFont="1" applyFill="1" applyBorder="1" applyAlignment="1">
      <alignment horizontal="center" vertical="center" wrapText="1"/>
    </xf>
    <xf numFmtId="4" fontId="38" fillId="2" borderId="1" xfId="0" applyNumberFormat="1" applyFont="1" applyFill="1" applyBorder="1" applyAlignment="1">
      <alignment horizontal="center" vertical="center" wrapText="1"/>
    </xf>
    <xf numFmtId="14" fontId="36" fillId="0" borderId="1" xfId="0" applyNumberFormat="1" applyFont="1" applyBorder="1" applyAlignment="1">
      <alignment horizontal="left" vertical="top" wrapText="1"/>
    </xf>
    <xf numFmtId="4" fontId="37" fillId="0" borderId="2" xfId="0" applyNumberFormat="1" applyFont="1" applyBorder="1" applyAlignment="1">
      <alignment horizontal="center" vertical="center" wrapText="1"/>
    </xf>
    <xf numFmtId="14" fontId="36" fillId="0" borderId="2" xfId="0" applyNumberFormat="1" applyFont="1" applyBorder="1" applyAlignment="1">
      <alignment horizontal="center" vertical="center" wrapText="1"/>
    </xf>
    <xf numFmtId="14" fontId="36" fillId="0" borderId="2" xfId="0" applyNumberFormat="1" applyFont="1" applyBorder="1" applyAlignment="1">
      <alignment horizontal="left" vertical="center" wrapText="1"/>
    </xf>
    <xf numFmtId="4" fontId="38" fillId="0" borderId="4" xfId="0" applyNumberFormat="1" applyFont="1" applyBorder="1" applyAlignment="1">
      <alignment horizontal="center" vertical="center" wrapText="1"/>
    </xf>
    <xf numFmtId="0" fontId="37" fillId="2" borderId="3" xfId="0" applyFont="1" applyFill="1" applyBorder="1" applyAlignment="1">
      <alignment vertical="center" wrapText="1"/>
    </xf>
    <xf numFmtId="0" fontId="37" fillId="2" borderId="3" xfId="0" applyFont="1" applyFill="1" applyBorder="1" applyAlignment="1">
      <alignment horizontal="center" vertical="center" wrapText="1"/>
    </xf>
    <xf numFmtId="4" fontId="37" fillId="2" borderId="3" xfId="0" applyNumberFormat="1" applyFont="1" applyFill="1" applyBorder="1" applyAlignment="1">
      <alignment horizontal="center" vertical="center" wrapText="1"/>
    </xf>
    <xf numFmtId="0" fontId="38" fillId="2" borderId="3" xfId="0" applyFont="1" applyFill="1" applyBorder="1" applyAlignment="1">
      <alignment vertical="center" wrapText="1"/>
    </xf>
    <xf numFmtId="0" fontId="38" fillId="2" borderId="3" xfId="0" applyFont="1" applyFill="1" applyBorder="1" applyAlignment="1">
      <alignment horizontal="center" vertical="center" wrapText="1"/>
    </xf>
    <xf numFmtId="4" fontId="38" fillId="0" borderId="3" xfId="0" applyNumberFormat="1" applyFont="1" applyBorder="1" applyAlignment="1">
      <alignment horizontal="center" vertical="center" wrapText="1"/>
    </xf>
    <xf numFmtId="0" fontId="36" fillId="4" borderId="3" xfId="0" applyFont="1" applyFill="1" applyBorder="1" applyAlignment="1">
      <alignment horizontal="center" vertical="center" wrapText="1"/>
    </xf>
    <xf numFmtId="49" fontId="36" fillId="4" borderId="3" xfId="0" applyNumberFormat="1" applyFont="1" applyFill="1" applyBorder="1" applyAlignment="1">
      <alignment horizontal="center" vertical="center" wrapText="1"/>
    </xf>
    <xf numFmtId="0" fontId="36" fillId="4" borderId="3" xfId="0" applyFont="1" applyFill="1" applyBorder="1" applyAlignment="1">
      <alignment horizontal="left" vertical="center" wrapText="1"/>
    </xf>
    <xf numFmtId="4" fontId="36" fillId="4" borderId="3" xfId="0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left"/>
    </xf>
    <xf numFmtId="0" fontId="38" fillId="2" borderId="1" xfId="0" applyFont="1" applyFill="1" applyBorder="1" applyAlignment="1">
      <alignment horizontal="left"/>
    </xf>
    <xf numFmtId="0" fontId="40" fillId="2" borderId="1" xfId="0" applyFont="1" applyFill="1" applyBorder="1" applyAlignment="1">
      <alignment horizontal="left" vertical="center"/>
    </xf>
    <xf numFmtId="0" fontId="37" fillId="2" borderId="1" xfId="0" applyFont="1" applyFill="1" applyBorder="1" applyAlignment="1">
      <alignment horizontal="left"/>
    </xf>
    <xf numFmtId="0" fontId="40" fillId="2" borderId="1" xfId="0" applyFont="1" applyFill="1" applyBorder="1"/>
    <xf numFmtId="14" fontId="36" fillId="4" borderId="5" xfId="0" applyNumberFormat="1" applyFont="1" applyFill="1" applyBorder="1" applyAlignment="1">
      <alignment horizontal="center" vertical="center" wrapText="1"/>
    </xf>
    <xf numFmtId="4" fontId="34" fillId="4" borderId="11" xfId="0" applyNumberFormat="1" applyFont="1" applyFill="1" applyBorder="1" applyAlignment="1">
      <alignment horizontal="center" wrapText="1"/>
    </xf>
    <xf numFmtId="0" fontId="37" fillId="2" borderId="11" xfId="0" applyFont="1" applyFill="1" applyBorder="1" applyAlignment="1">
      <alignment vertical="center" wrapText="1"/>
    </xf>
    <xf numFmtId="0" fontId="36" fillId="0" borderId="11" xfId="0" applyFont="1" applyBorder="1" applyAlignment="1">
      <alignment vertical="center" wrapText="1"/>
    </xf>
    <xf numFmtId="14" fontId="38" fillId="0" borderId="3" xfId="0" applyNumberFormat="1" applyFont="1" applyBorder="1" applyAlignment="1">
      <alignment horizontal="left" vertical="center"/>
    </xf>
    <xf numFmtId="14" fontId="38" fillId="0" borderId="3" xfId="0" applyNumberFormat="1" applyFont="1" applyBorder="1" applyAlignment="1">
      <alignment horizontal="center" vertical="center"/>
    </xf>
    <xf numFmtId="0" fontId="38" fillId="4" borderId="5" xfId="0" applyFont="1" applyFill="1" applyBorder="1" applyAlignment="1">
      <alignment horizontal="center" vertical="center"/>
    </xf>
    <xf numFmtId="49" fontId="37" fillId="4" borderId="6" xfId="0" applyNumberFormat="1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4" fontId="38" fillId="0" borderId="1" xfId="0" applyNumberFormat="1" applyFont="1" applyBorder="1" applyAlignment="1">
      <alignment horizontal="center" vertical="center" wrapText="1"/>
    </xf>
    <xf numFmtId="0" fontId="38" fillId="4" borderId="6" xfId="0" applyFont="1" applyFill="1" applyBorder="1" applyAlignment="1">
      <alignment vertical="center"/>
    </xf>
    <xf numFmtId="0" fontId="36" fillId="4" borderId="6" xfId="0" applyFont="1" applyFill="1" applyBorder="1" applyAlignment="1">
      <alignment vertical="center"/>
    </xf>
    <xf numFmtId="4" fontId="35" fillId="4" borderId="11" xfId="0" applyNumberFormat="1" applyFont="1" applyFill="1" applyBorder="1" applyAlignment="1">
      <alignment horizont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center"/>
    </xf>
    <xf numFmtId="0" fontId="38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8" fillId="0" borderId="0" xfId="0" applyFont="1"/>
    <xf numFmtId="0" fontId="41" fillId="0" borderId="0" xfId="0" applyFont="1" applyAlignment="1">
      <alignment horizontal="center"/>
    </xf>
    <xf numFmtId="0" fontId="41" fillId="0" borderId="0" xfId="0" applyFont="1" applyAlignment="1">
      <alignment vertical="center"/>
    </xf>
    <xf numFmtId="0" fontId="41" fillId="0" borderId="0" xfId="0" applyFont="1"/>
    <xf numFmtId="0" fontId="42" fillId="0" borderId="0" xfId="0" applyFont="1" applyAlignment="1">
      <alignment horizontal="center" vertical="center"/>
    </xf>
    <xf numFmtId="0" fontId="42" fillId="0" borderId="0" xfId="0" applyFont="1" applyAlignment="1">
      <alignment horizontal="center"/>
    </xf>
    <xf numFmtId="0" fontId="42" fillId="0" borderId="0" xfId="0" applyFont="1"/>
    <xf numFmtId="0" fontId="42" fillId="0" borderId="0" xfId="0" applyFont="1" applyAlignment="1">
      <alignment horizontal="left" vertical="center"/>
    </xf>
    <xf numFmtId="0" fontId="42" fillId="0" borderId="0" xfId="0" applyFont="1" applyAlignment="1">
      <alignment vertical="center"/>
    </xf>
    <xf numFmtId="0" fontId="41" fillId="0" borderId="0" xfId="0" applyFont="1" applyAlignment="1">
      <alignment horizontal="center" vertical="center"/>
    </xf>
    <xf numFmtId="0" fontId="39" fillId="4" borderId="3" xfId="0" applyFont="1" applyFill="1" applyBorder="1" applyAlignment="1">
      <alignment horizontal="center"/>
    </xf>
    <xf numFmtId="0" fontId="44" fillId="0" borderId="0" xfId="0" applyFont="1" applyAlignment="1">
      <alignment horizontal="center" vertical="center"/>
    </xf>
    <xf numFmtId="0" fontId="45" fillId="3" borderId="13" xfId="0" applyFont="1" applyFill="1" applyBorder="1" applyAlignment="1">
      <alignment horizontal="center" vertical="center" wrapText="1"/>
    </xf>
    <xf numFmtId="0" fontId="46" fillId="3" borderId="13" xfId="0" applyFont="1" applyFill="1" applyBorder="1" applyAlignment="1">
      <alignment horizontal="center" vertical="center" wrapText="1"/>
    </xf>
    <xf numFmtId="0" fontId="43" fillId="3" borderId="13" xfId="0" applyFont="1" applyFill="1" applyBorder="1" applyAlignment="1">
      <alignment horizontal="center" vertical="center"/>
    </xf>
    <xf numFmtId="0" fontId="43" fillId="3" borderId="17" xfId="0" applyFont="1" applyFill="1" applyBorder="1" applyAlignment="1">
      <alignment horizontal="center" vertical="center"/>
    </xf>
    <xf numFmtId="0" fontId="46" fillId="3" borderId="17" xfId="0" applyFont="1" applyFill="1" applyBorder="1" applyAlignment="1">
      <alignment horizontal="center" vertical="center" wrapText="1"/>
    </xf>
    <xf numFmtId="0" fontId="46" fillId="3" borderId="0" xfId="0" applyFont="1" applyFill="1" applyAlignment="1">
      <alignment horizontal="center" vertical="center" wrapText="1"/>
    </xf>
    <xf numFmtId="0" fontId="36" fillId="2" borderId="1" xfId="0" applyFont="1" applyFill="1" applyBorder="1" applyAlignment="1">
      <alignment horizontal="left" vertical="center" wrapText="1"/>
    </xf>
    <xf numFmtId="0" fontId="28" fillId="2" borderId="1" xfId="0" applyFont="1" applyFill="1" applyBorder="1"/>
    <xf numFmtId="0" fontId="43" fillId="0" borderId="10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14" fontId="36" fillId="0" borderId="4" xfId="0" applyNumberFormat="1" applyFont="1" applyBorder="1" applyAlignment="1">
      <alignment horizontal="center" vertical="center" wrapText="1"/>
    </xf>
    <xf numFmtId="49" fontId="36" fillId="0" borderId="4" xfId="0" applyNumberFormat="1" applyFont="1" applyBorder="1" applyAlignment="1">
      <alignment horizontal="center" vertical="center" wrapText="1"/>
    </xf>
    <xf numFmtId="14" fontId="36" fillId="0" borderId="4" xfId="0" applyNumberFormat="1" applyFont="1" applyBorder="1" applyAlignment="1">
      <alignment horizontal="left" vertical="center" wrapText="1"/>
    </xf>
    <xf numFmtId="0" fontId="37" fillId="0" borderId="1" xfId="0" applyFont="1" applyBorder="1" applyAlignment="1">
      <alignment vertical="center" wrapText="1"/>
    </xf>
    <xf numFmtId="14" fontId="38" fillId="0" borderId="1" xfId="0" applyNumberFormat="1" applyFont="1" applyBorder="1" applyAlignment="1">
      <alignment horizontal="center" vertical="center" wrapText="1"/>
    </xf>
    <xf numFmtId="49" fontId="38" fillId="0" borderId="1" xfId="0" applyNumberFormat="1" applyFont="1" applyBorder="1" applyAlignment="1">
      <alignment horizontal="center" vertical="center" wrapText="1"/>
    </xf>
    <xf numFmtId="14" fontId="38" fillId="0" borderId="1" xfId="0" applyNumberFormat="1" applyFont="1" applyBorder="1" applyAlignment="1">
      <alignment horizontal="left" vertical="center" wrapText="1"/>
    </xf>
    <xf numFmtId="0" fontId="38" fillId="0" borderId="1" xfId="0" applyFont="1" applyBorder="1" applyAlignment="1">
      <alignment vertical="center" wrapText="1"/>
    </xf>
    <xf numFmtId="0" fontId="37" fillId="0" borderId="2" xfId="0" applyFont="1" applyBorder="1" applyAlignment="1">
      <alignment vertical="center" wrapText="1"/>
    </xf>
    <xf numFmtId="0" fontId="37" fillId="0" borderId="2" xfId="0" applyFont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14" fontId="36" fillId="5" borderId="1" xfId="0" applyNumberFormat="1" applyFont="1" applyFill="1" applyBorder="1" applyAlignment="1">
      <alignment horizontal="center" vertical="center" wrapText="1"/>
    </xf>
    <xf numFmtId="49" fontId="36" fillId="5" borderId="1" xfId="0" applyNumberFormat="1" applyFont="1" applyFill="1" applyBorder="1" applyAlignment="1">
      <alignment horizontal="center" vertical="center" wrapText="1"/>
    </xf>
    <xf numFmtId="14" fontId="36" fillId="5" borderId="1" xfId="0" applyNumberFormat="1" applyFont="1" applyFill="1" applyBorder="1" applyAlignment="1">
      <alignment horizontal="left" vertical="center" wrapText="1"/>
    </xf>
    <xf numFmtId="0" fontId="36" fillId="5" borderId="2" xfId="0" applyFont="1" applyFill="1" applyBorder="1" applyAlignment="1">
      <alignment vertical="center" wrapText="1"/>
    </xf>
    <xf numFmtId="0" fontId="36" fillId="5" borderId="1" xfId="0" applyFont="1" applyFill="1" applyBorder="1" applyAlignment="1">
      <alignment horizontal="center" vertical="center" wrapText="1"/>
    </xf>
    <xf numFmtId="0" fontId="36" fillId="5" borderId="2" xfId="0" applyFont="1" applyFill="1" applyBorder="1" applyAlignment="1">
      <alignment horizontal="center" vertical="center" wrapText="1"/>
    </xf>
    <xf numFmtId="4" fontId="36" fillId="5" borderId="2" xfId="0" applyNumberFormat="1" applyFont="1" applyFill="1" applyBorder="1" applyAlignment="1">
      <alignment horizontal="center" vertical="center" wrapText="1"/>
    </xf>
    <xf numFmtId="4" fontId="36" fillId="5" borderId="1" xfId="0" applyNumberFormat="1" applyFont="1" applyFill="1" applyBorder="1" applyAlignment="1">
      <alignment horizontal="center" vertical="center" wrapText="1"/>
    </xf>
    <xf numFmtId="0" fontId="22" fillId="5" borderId="0" xfId="0" applyFont="1" applyFill="1"/>
    <xf numFmtId="0" fontId="38" fillId="0" borderId="3" xfId="0" applyFont="1" applyBorder="1" applyAlignment="1">
      <alignment vertical="center" wrapText="1"/>
    </xf>
    <xf numFmtId="0" fontId="38" fillId="0" borderId="3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37" fillId="0" borderId="1" xfId="0" applyFont="1" applyBorder="1" applyAlignment="1">
      <alignment horizontal="left"/>
    </xf>
    <xf numFmtId="0" fontId="40" fillId="0" borderId="1" xfId="0" applyFont="1" applyBorder="1"/>
    <xf numFmtId="0" fontId="37" fillId="0" borderId="11" xfId="0" applyFont="1" applyBorder="1" applyAlignment="1">
      <alignment vertical="center" wrapText="1"/>
    </xf>
    <xf numFmtId="0" fontId="38" fillId="0" borderId="2" xfId="0" applyFont="1" applyBorder="1" applyAlignment="1">
      <alignment vertical="center" wrapText="1"/>
    </xf>
    <xf numFmtId="0" fontId="38" fillId="0" borderId="2" xfId="0" applyFont="1" applyBorder="1" applyAlignment="1">
      <alignment horizontal="center" vertical="center" wrapText="1"/>
    </xf>
    <xf numFmtId="4" fontId="38" fillId="0" borderId="2" xfId="0" applyNumberFormat="1" applyFont="1" applyBorder="1" applyAlignment="1">
      <alignment horizontal="center" vertical="center" wrapText="1"/>
    </xf>
    <xf numFmtId="0" fontId="38" fillId="0" borderId="1" xfId="0" applyFont="1" applyBorder="1"/>
    <xf numFmtId="0" fontId="40" fillId="0" borderId="1" xfId="0" applyFont="1" applyBorder="1" applyAlignment="1">
      <alignment horizontal="left"/>
    </xf>
    <xf numFmtId="0" fontId="34" fillId="4" borderId="3" xfId="0" applyFont="1" applyFill="1" applyBorder="1" applyAlignment="1">
      <alignment horizontal="center" vertical="center" wrapText="1"/>
    </xf>
    <xf numFmtId="0" fontId="36" fillId="4" borderId="19" xfId="0" applyFont="1" applyFill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48" fillId="4" borderId="3" xfId="0" applyFont="1" applyFill="1" applyBorder="1" applyAlignment="1">
      <alignment horizontal="center"/>
    </xf>
    <xf numFmtId="0" fontId="49" fillId="0" borderId="1" xfId="0" applyFont="1" applyBorder="1" applyAlignment="1">
      <alignment horizontal="left"/>
    </xf>
    <xf numFmtId="0" fontId="49" fillId="2" borderId="1" xfId="0" applyFont="1" applyFill="1" applyBorder="1" applyAlignment="1">
      <alignment horizontal="left"/>
    </xf>
    <xf numFmtId="0" fontId="6" fillId="0" borderId="1" xfId="0" applyFont="1" applyBorder="1"/>
    <xf numFmtId="14" fontId="38" fillId="2" borderId="3" xfId="0" applyNumberFormat="1" applyFont="1" applyFill="1" applyBorder="1" applyAlignment="1">
      <alignment horizontal="center" vertical="center"/>
    </xf>
    <xf numFmtId="14" fontId="36" fillId="2" borderId="3" xfId="0" applyNumberFormat="1" applyFont="1" applyFill="1" applyBorder="1" applyAlignment="1">
      <alignment horizontal="left" vertical="center" wrapText="1"/>
    </xf>
    <xf numFmtId="0" fontId="36" fillId="2" borderId="11" xfId="0" applyFont="1" applyFill="1" applyBorder="1" applyAlignment="1">
      <alignment vertical="center" wrapText="1"/>
    </xf>
    <xf numFmtId="0" fontId="36" fillId="2" borderId="2" xfId="0" applyFont="1" applyFill="1" applyBorder="1" applyAlignment="1">
      <alignment horizontal="center" vertical="center" wrapText="1"/>
    </xf>
    <xf numFmtId="0" fontId="36" fillId="2" borderId="2" xfId="0" applyFont="1" applyFill="1" applyBorder="1" applyAlignment="1">
      <alignment vertical="center" wrapText="1"/>
    </xf>
    <xf numFmtId="4" fontId="36" fillId="2" borderId="2" xfId="0" applyNumberFormat="1" applyFont="1" applyFill="1" applyBorder="1" applyAlignment="1">
      <alignment horizontal="center" vertical="center" wrapText="1"/>
    </xf>
    <xf numFmtId="14" fontId="36" fillId="2" borderId="1" xfId="0" applyNumberFormat="1" applyFont="1" applyFill="1" applyBorder="1" applyAlignment="1">
      <alignment horizontal="left" vertical="top" wrapText="1"/>
    </xf>
    <xf numFmtId="0" fontId="38" fillId="0" borderId="11" xfId="0" applyFont="1" applyBorder="1" applyAlignment="1">
      <alignment vertical="center" wrapText="1"/>
    </xf>
    <xf numFmtId="0" fontId="36" fillId="0" borderId="12" xfId="0" applyFont="1" applyBorder="1" applyAlignment="1">
      <alignment vertical="center" wrapText="1"/>
    </xf>
    <xf numFmtId="14" fontId="38" fillId="0" borderId="1" xfId="0" applyNumberFormat="1" applyFont="1" applyBorder="1" applyAlignment="1">
      <alignment horizontal="center" vertical="center"/>
    </xf>
    <xf numFmtId="14" fontId="38" fillId="0" borderId="1" xfId="0" applyNumberFormat="1" applyFont="1" applyBorder="1" applyAlignment="1">
      <alignment horizontal="left" vertical="center"/>
    </xf>
    <xf numFmtId="1" fontId="36" fillId="0" borderId="3" xfId="0" applyNumberFormat="1" applyFont="1" applyBorder="1" applyAlignment="1">
      <alignment horizontal="center" vertical="center" wrapText="1"/>
    </xf>
    <xf numFmtId="49" fontId="36" fillId="2" borderId="3" xfId="0" applyNumberFormat="1" applyFont="1" applyFill="1" applyBorder="1" applyAlignment="1">
      <alignment horizontal="center" vertical="center" wrapText="1"/>
    </xf>
    <xf numFmtId="0" fontId="37" fillId="0" borderId="1" xfId="0" applyFont="1" applyBorder="1" applyAlignment="1">
      <alignment vertical="center"/>
    </xf>
    <xf numFmtId="0" fontId="38" fillId="0" borderId="1" xfId="0" applyFont="1" applyBorder="1" applyAlignment="1">
      <alignment horizontal="left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center" vertical="center"/>
    </xf>
    <xf numFmtId="0" fontId="43" fillId="0" borderId="10" xfId="0" applyFont="1" applyBorder="1" applyAlignment="1">
      <alignment horizontal="center"/>
    </xf>
    <xf numFmtId="0" fontId="30" fillId="0" borderId="0" xfId="0" applyFont="1" applyAlignment="1">
      <alignment horizontal="center" vertical="top" wrapText="1"/>
    </xf>
    <xf numFmtId="0" fontId="45" fillId="3" borderId="15" xfId="0" applyFont="1" applyFill="1" applyBorder="1" applyAlignment="1">
      <alignment horizontal="center" vertical="center" wrapText="1"/>
    </xf>
    <xf numFmtId="0" fontId="45" fillId="3" borderId="16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right"/>
    </xf>
    <xf numFmtId="0" fontId="24" fillId="2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5" fillId="4" borderId="8" xfId="0" applyFont="1" applyFill="1" applyBorder="1" applyAlignment="1">
      <alignment horizontal="center" vertical="center" wrapText="1"/>
    </xf>
    <xf numFmtId="0" fontId="35" fillId="4" borderId="5" xfId="0" applyFont="1" applyFill="1" applyBorder="1" applyAlignment="1">
      <alignment horizontal="center"/>
    </xf>
    <xf numFmtId="0" fontId="35" fillId="4" borderId="6" xfId="0" applyFont="1" applyFill="1" applyBorder="1" applyAlignment="1">
      <alignment horizontal="center"/>
    </xf>
    <xf numFmtId="0" fontId="34" fillId="4" borderId="5" xfId="0" applyFont="1" applyFill="1" applyBorder="1" applyAlignment="1">
      <alignment horizontal="center" vertical="center" wrapText="1"/>
    </xf>
    <xf numFmtId="0" fontId="34" fillId="4" borderId="6" xfId="0" applyFont="1" applyFill="1" applyBorder="1" applyAlignment="1">
      <alignment horizontal="center" vertical="center" wrapText="1"/>
    </xf>
    <xf numFmtId="0" fontId="46" fillId="3" borderId="7" xfId="0" applyFont="1" applyFill="1" applyBorder="1" applyAlignment="1">
      <alignment horizontal="center" vertical="center" wrapText="1"/>
    </xf>
    <xf numFmtId="0" fontId="46" fillId="3" borderId="8" xfId="0" applyFont="1" applyFill="1" applyBorder="1" applyAlignment="1">
      <alignment horizontal="center" vertical="center" wrapText="1"/>
    </xf>
    <xf numFmtId="0" fontId="46" fillId="3" borderId="9" xfId="0" applyFont="1" applyFill="1" applyBorder="1" applyAlignment="1">
      <alignment horizontal="center" vertical="center" wrapText="1"/>
    </xf>
    <xf numFmtId="0" fontId="35" fillId="4" borderId="1" xfId="0" applyFont="1" applyFill="1" applyBorder="1" applyAlignment="1">
      <alignment horizontal="center" vertical="center"/>
    </xf>
    <xf numFmtId="0" fontId="34" fillId="4" borderId="1" xfId="0" applyFont="1" applyFill="1" applyBorder="1" applyAlignment="1">
      <alignment horizontal="center" vertical="center" wrapText="1"/>
    </xf>
    <xf numFmtId="0" fontId="49" fillId="0" borderId="1" xfId="0" applyFont="1" applyBorder="1" applyAlignment="1">
      <alignment horizontal="left" vertical="center"/>
    </xf>
    <xf numFmtId="0" fontId="35" fillId="4" borderId="2" xfId="0" applyFont="1" applyFill="1" applyBorder="1" applyAlignment="1">
      <alignment horizontal="center" vertical="center"/>
    </xf>
    <xf numFmtId="0" fontId="35" fillId="4" borderId="4" xfId="0" applyFont="1" applyFill="1" applyBorder="1" applyAlignment="1">
      <alignment horizontal="center" vertical="center"/>
    </xf>
    <xf numFmtId="0" fontId="35" fillId="4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2670499</xdr:colOff>
      <xdr:row>0</xdr:row>
      <xdr:rowOff>90122</xdr:rowOff>
    </xdr:from>
    <xdr:to>
      <xdr:col>6</xdr:col>
      <xdr:colOff>421822</xdr:colOff>
      <xdr:row>6</xdr:row>
      <xdr:rowOff>13608</xdr:rowOff>
    </xdr:to>
    <xdr:pic>
      <xdr:nvPicPr>
        <xdr:cNvPr id="4" name="Imagen 4" descr="download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7749" y="90122"/>
          <a:ext cx="3670430" cy="1923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748392</xdr:colOff>
      <xdr:row>0</xdr:row>
      <xdr:rowOff>117961</xdr:rowOff>
    </xdr:from>
    <xdr:to>
      <xdr:col>4</xdr:col>
      <xdr:colOff>820615</xdr:colOff>
      <xdr:row>5</xdr:row>
      <xdr:rowOff>340178</xdr:rowOff>
    </xdr:to>
    <xdr:grpSp>
      <xdr:nvGrpSpPr>
        <xdr:cNvPr id="1037" name="Group 13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GrpSpPr>
          <a:grpSpLocks/>
        </xdr:cNvGrpSpPr>
      </xdr:nvGrpSpPr>
      <xdr:grpSpPr bwMode="auto">
        <a:xfrm>
          <a:off x="895962" y="117961"/>
          <a:ext cx="4687153" cy="1845492"/>
          <a:chOff x="1199" y="528"/>
          <a:chExt cx="3571" cy="1230"/>
        </a:xfrm>
      </xdr:grpSpPr>
      <xdr:pic>
        <xdr:nvPicPr>
          <xdr:cNvPr id="18" name="Imagen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" y="846"/>
            <a:ext cx="848" cy="83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9" name="Imagen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10" y="528"/>
            <a:ext cx="2460" cy="123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038" name="AutoShape 14">
            <a:extLst>
              <a:ext uri="{FF2B5EF4-FFF2-40B4-BE49-F238E27FC236}">
                <a16:creationId xmlns:a16="http://schemas.microsoft.com/office/drawing/2014/main" id="{00000000-0008-0000-0000-00000E04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175" y="528"/>
            <a:ext cx="1" cy="121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803183</xdr:colOff>
      <xdr:row>0</xdr:row>
      <xdr:rowOff>172810</xdr:rowOff>
    </xdr:from>
    <xdr:to>
      <xdr:col>5</xdr:col>
      <xdr:colOff>39461</xdr:colOff>
      <xdr:row>5</xdr:row>
      <xdr:rowOff>201385</xdr:rowOff>
    </xdr:to>
    <xdr:pic>
      <xdr:nvPicPr>
        <xdr:cNvPr id="2" name="Imagen 4" descr="download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9504" y="172810"/>
          <a:ext cx="1780814" cy="1049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68036</xdr:colOff>
      <xdr:row>0</xdr:row>
      <xdr:rowOff>134710</xdr:rowOff>
    </xdr:from>
    <xdr:to>
      <xdr:col>3</xdr:col>
      <xdr:colOff>455840</xdr:colOff>
      <xdr:row>5</xdr:row>
      <xdr:rowOff>77561</xdr:rowOff>
    </xdr:to>
    <xdr:grpSp>
      <xdr:nvGrpSpPr>
        <xdr:cNvPr id="3" name="Group 1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>
          <a:grpSpLocks/>
        </xdr:cNvGrpSpPr>
      </xdr:nvGrpSpPr>
      <xdr:grpSpPr bwMode="auto">
        <a:xfrm>
          <a:off x="68036" y="134710"/>
          <a:ext cx="2694215" cy="963387"/>
          <a:chOff x="1199" y="528"/>
          <a:chExt cx="3571" cy="1230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" y="846"/>
            <a:ext cx="848" cy="83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10" y="528"/>
            <a:ext cx="2460" cy="123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6" name="AutoShape 14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175" y="528"/>
            <a:ext cx="1" cy="121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O273"/>
  <sheetViews>
    <sheetView tabSelected="1" topLeftCell="G233" zoomScale="71" zoomScaleNormal="71" workbookViewId="0">
      <selection activeCell="Q264" sqref="Q264"/>
    </sheetView>
  </sheetViews>
  <sheetFormatPr baseColWidth="10" defaultColWidth="11.42578125" defaultRowHeight="31.5" x14ac:dyDescent="0.5"/>
  <cols>
    <col min="1" max="1" width="2.140625" style="77" customWidth="1"/>
    <col min="2" max="2" width="26.7109375" style="81" customWidth="1"/>
    <col min="3" max="3" width="20.85546875" style="78" customWidth="1"/>
    <col min="4" max="4" width="21.5703125" style="80" customWidth="1"/>
    <col min="5" max="5" width="70" style="77" customWidth="1"/>
    <col min="6" max="6" width="18.7109375" style="78" customWidth="1"/>
    <col min="7" max="7" width="14.5703125" style="78" customWidth="1"/>
    <col min="8" max="8" width="21.28515625" style="78" customWidth="1"/>
    <col min="9" max="9" width="15.28515625" style="78" bestFit="1" customWidth="1"/>
    <col min="10" max="10" width="17" style="78" customWidth="1"/>
    <col min="11" max="12" width="19.42578125" style="78" customWidth="1"/>
    <col min="13" max="13" width="19.7109375" style="78" customWidth="1"/>
    <col min="14" max="14" width="25.85546875" style="78" customWidth="1"/>
    <col min="15" max="16" width="11.42578125" style="77" hidden="1" customWidth="1"/>
    <col min="17" max="17" width="11.42578125" style="77"/>
    <col min="18" max="18" width="17.7109375" style="77" bestFit="1" customWidth="1"/>
    <col min="19" max="16384" width="11.42578125" style="77"/>
  </cols>
  <sheetData>
    <row r="1" spans="2:16" ht="18" customHeight="1" x14ac:dyDescent="0.5">
      <c r="B1" s="76" t="s">
        <v>27</v>
      </c>
      <c r="C1" s="76"/>
      <c r="D1" s="76"/>
      <c r="E1" s="76"/>
      <c r="I1" s="277" t="s">
        <v>393</v>
      </c>
      <c r="J1" s="277"/>
      <c r="K1" s="277"/>
      <c r="L1" s="277"/>
      <c r="M1" s="277"/>
      <c r="N1" s="277"/>
      <c r="O1" s="79"/>
      <c r="P1" s="79"/>
    </row>
    <row r="2" spans="2:16" x14ac:dyDescent="0.5">
      <c r="I2" s="277"/>
      <c r="J2" s="277"/>
      <c r="K2" s="277"/>
      <c r="L2" s="277"/>
      <c r="M2" s="277"/>
      <c r="N2" s="277"/>
      <c r="O2" s="79"/>
      <c r="P2" s="79"/>
    </row>
    <row r="3" spans="2:16" ht="15" customHeight="1" x14ac:dyDescent="0.5">
      <c r="B3" s="76" t="s">
        <v>28</v>
      </c>
      <c r="C3" s="76"/>
      <c r="D3" s="76"/>
      <c r="E3" s="76"/>
      <c r="I3" s="277"/>
      <c r="J3" s="277"/>
      <c r="K3" s="277"/>
      <c r="L3" s="277"/>
      <c r="M3" s="277"/>
      <c r="N3" s="277"/>
      <c r="O3" s="79"/>
      <c r="P3" s="79"/>
    </row>
    <row r="4" spans="2:16" x14ac:dyDescent="0.5">
      <c r="I4" s="277"/>
      <c r="J4" s="277"/>
      <c r="K4" s="277"/>
      <c r="L4" s="277"/>
      <c r="M4" s="277"/>
      <c r="N4" s="277"/>
      <c r="O4" s="79"/>
      <c r="P4" s="79"/>
    </row>
    <row r="5" spans="2:16" x14ac:dyDescent="0.5">
      <c r="I5" s="277"/>
      <c r="J5" s="277"/>
      <c r="K5" s="277"/>
      <c r="L5" s="277"/>
      <c r="M5" s="277"/>
      <c r="N5" s="277"/>
      <c r="O5" s="79"/>
      <c r="P5" s="79"/>
    </row>
    <row r="6" spans="2:16" x14ac:dyDescent="0.5">
      <c r="I6" s="277"/>
      <c r="J6" s="277"/>
      <c r="K6" s="277"/>
      <c r="L6" s="277"/>
      <c r="M6" s="277"/>
      <c r="N6" s="277"/>
      <c r="O6" s="79"/>
      <c r="P6" s="79"/>
    </row>
    <row r="7" spans="2:16" ht="15" customHeight="1" x14ac:dyDescent="0.5">
      <c r="C7" s="76"/>
      <c r="D7" s="76"/>
      <c r="E7" s="76"/>
      <c r="I7" s="277"/>
      <c r="J7" s="277"/>
      <c r="K7" s="277"/>
      <c r="L7" s="277"/>
      <c r="M7" s="277"/>
      <c r="N7" s="277"/>
      <c r="O7" s="79"/>
      <c r="P7" s="79"/>
    </row>
    <row r="8" spans="2:16" ht="30" customHeight="1" x14ac:dyDescent="0.5">
      <c r="B8" s="282" t="s">
        <v>397</v>
      </c>
      <c r="C8" s="282"/>
      <c r="D8" s="282"/>
      <c r="E8" s="282"/>
      <c r="F8" s="282"/>
      <c r="G8" s="282"/>
      <c r="H8" s="282"/>
      <c r="I8" s="282"/>
      <c r="J8" s="282"/>
      <c r="K8" s="282"/>
      <c r="L8" s="282"/>
      <c r="M8" s="282"/>
      <c r="N8" s="282"/>
    </row>
    <row r="9" spans="2:16" ht="15" customHeight="1" x14ac:dyDescent="0.5">
      <c r="B9" s="76" t="s">
        <v>29</v>
      </c>
      <c r="C9" s="76" t="s">
        <v>118</v>
      </c>
      <c r="D9" s="76"/>
      <c r="F9" s="83"/>
      <c r="G9" s="83"/>
      <c r="H9" s="84"/>
      <c r="I9" s="84"/>
      <c r="K9" s="83"/>
      <c r="L9" s="83"/>
      <c r="M9" s="83"/>
    </row>
    <row r="10" spans="2:16" ht="9.75" customHeight="1" x14ac:dyDescent="0.5">
      <c r="B10" s="76"/>
      <c r="C10" s="76"/>
      <c r="D10" s="76"/>
      <c r="F10" s="83"/>
      <c r="G10" s="83"/>
      <c r="H10" s="84"/>
      <c r="I10" s="84"/>
      <c r="K10" s="83"/>
      <c r="L10" s="83"/>
      <c r="M10" s="83"/>
    </row>
    <row r="11" spans="2:16" ht="33" customHeight="1" x14ac:dyDescent="0.5">
      <c r="B11" s="281" t="s">
        <v>467</v>
      </c>
      <c r="C11" s="281"/>
      <c r="D11" s="281"/>
      <c r="E11" s="281"/>
      <c r="F11" s="281"/>
      <c r="G11" s="281"/>
      <c r="H11" s="281"/>
      <c r="I11" s="281"/>
      <c r="J11" s="281"/>
      <c r="K11" s="281"/>
      <c r="L11" s="281"/>
      <c r="M11" s="281"/>
      <c r="N11" s="281"/>
    </row>
    <row r="12" spans="2:16" ht="7.5" customHeight="1" thickBot="1" x14ac:dyDescent="0.55000000000000004"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</row>
    <row r="13" spans="2:16" ht="36.75" customHeight="1" thickBot="1" x14ac:dyDescent="0.55000000000000004">
      <c r="B13" s="209" t="s">
        <v>39</v>
      </c>
      <c r="C13" s="209" t="s">
        <v>37</v>
      </c>
      <c r="D13" s="209" t="s">
        <v>39</v>
      </c>
      <c r="E13" s="278" t="s">
        <v>49</v>
      </c>
      <c r="F13" s="210" t="s">
        <v>0</v>
      </c>
      <c r="G13" s="288" t="s">
        <v>1</v>
      </c>
      <c r="H13" s="289"/>
      <c r="I13" s="289"/>
      <c r="J13" s="289"/>
      <c r="K13" s="289"/>
      <c r="L13" s="289"/>
      <c r="M13" s="289"/>
      <c r="N13" s="290"/>
    </row>
    <row r="14" spans="2:16" ht="67.5" customHeight="1" thickBot="1" x14ac:dyDescent="0.55000000000000004">
      <c r="B14" s="209" t="s">
        <v>124</v>
      </c>
      <c r="C14" s="209" t="s">
        <v>38</v>
      </c>
      <c r="D14" s="209" t="s">
        <v>126</v>
      </c>
      <c r="E14" s="279"/>
      <c r="F14" s="211" t="s">
        <v>50</v>
      </c>
      <c r="G14" s="212" t="s">
        <v>343</v>
      </c>
      <c r="H14" s="213" t="s">
        <v>2</v>
      </c>
      <c r="I14" s="214" t="s">
        <v>3</v>
      </c>
      <c r="J14" s="213" t="s">
        <v>4</v>
      </c>
      <c r="K14" s="214" t="s">
        <v>31</v>
      </c>
      <c r="L14" s="212" t="s">
        <v>32</v>
      </c>
      <c r="M14" s="214" t="s">
        <v>30</v>
      </c>
      <c r="N14" s="213" t="s">
        <v>5</v>
      </c>
    </row>
    <row r="15" spans="2:16" ht="30.75" customHeight="1" thickBot="1" x14ac:dyDescent="0.55000000000000004">
      <c r="B15" s="100"/>
      <c r="C15" s="86"/>
      <c r="D15" s="283" t="s">
        <v>127</v>
      </c>
      <c r="E15" s="283"/>
      <c r="F15" s="87"/>
      <c r="G15" s="87"/>
      <c r="H15" s="86"/>
      <c r="I15" s="86"/>
      <c r="J15" s="86"/>
      <c r="K15" s="86"/>
      <c r="L15" s="86"/>
      <c r="M15" s="86"/>
      <c r="N15" s="88">
        <f>SUM(N16:N19)</f>
        <v>59015.34</v>
      </c>
    </row>
    <row r="16" spans="2:16" ht="42" customHeight="1" x14ac:dyDescent="0.5">
      <c r="B16" s="101">
        <v>44006</v>
      </c>
      <c r="C16" s="102" t="s">
        <v>65</v>
      </c>
      <c r="D16" s="103">
        <v>44006</v>
      </c>
      <c r="E16" s="104" t="s">
        <v>7</v>
      </c>
      <c r="F16" s="101" t="str">
        <f>F21</f>
        <v>UNID.</v>
      </c>
      <c r="G16" s="270">
        <v>130</v>
      </c>
      <c r="H16" s="105">
        <v>130</v>
      </c>
      <c r="I16" s="105">
        <f>14+1</f>
        <v>15</v>
      </c>
      <c r="J16" s="105">
        <f>+H16-I16</f>
        <v>115</v>
      </c>
      <c r="K16" s="106">
        <v>286</v>
      </c>
      <c r="L16" s="106">
        <f>J16*K16</f>
        <v>32890</v>
      </c>
      <c r="M16" s="106">
        <f>L16*18%</f>
        <v>5920.2</v>
      </c>
      <c r="N16" s="106">
        <f>L16+M16</f>
        <v>38810.199999999997</v>
      </c>
    </row>
    <row r="17" spans="2:20" ht="32.25" customHeight="1" x14ac:dyDescent="0.5">
      <c r="B17" s="101">
        <v>44006</v>
      </c>
      <c r="C17" s="107" t="s">
        <v>66</v>
      </c>
      <c r="D17" s="103">
        <v>44006</v>
      </c>
      <c r="E17" s="104" t="s">
        <v>221</v>
      </c>
      <c r="F17" s="105" t="str">
        <f>F21</f>
        <v>UNID.</v>
      </c>
      <c r="G17" s="105">
        <v>158</v>
      </c>
      <c r="H17" s="105">
        <v>203</v>
      </c>
      <c r="I17" s="109">
        <f>111+1+1+1+1+1+1+1+1+1</f>
        <v>120</v>
      </c>
      <c r="J17" s="105">
        <f>+H17-I17</f>
        <v>83</v>
      </c>
      <c r="K17" s="106">
        <v>201</v>
      </c>
      <c r="L17" s="106">
        <f>J17*K17</f>
        <v>16683</v>
      </c>
      <c r="M17" s="106">
        <f>L17*18%</f>
        <v>3002.94</v>
      </c>
      <c r="N17" s="106">
        <f>L17+M17</f>
        <v>19685.939999999999</v>
      </c>
    </row>
    <row r="18" spans="2:20" ht="31.5" customHeight="1" x14ac:dyDescent="0.5">
      <c r="B18" s="101">
        <v>44006</v>
      </c>
      <c r="C18" s="107" t="s">
        <v>66</v>
      </c>
      <c r="D18" s="103" t="s">
        <v>222</v>
      </c>
      <c r="E18" s="108" t="s">
        <v>223</v>
      </c>
      <c r="F18" s="110" t="s">
        <v>51</v>
      </c>
      <c r="G18" s="110">
        <v>0</v>
      </c>
      <c r="H18" s="111">
        <v>2</v>
      </c>
      <c r="I18" s="109">
        <v>2</v>
      </c>
      <c r="J18" s="105">
        <f>+H18-I18</f>
        <v>0</v>
      </c>
      <c r="K18" s="106">
        <v>440</v>
      </c>
      <c r="L18" s="106">
        <f>+K18*J18</f>
        <v>0</v>
      </c>
      <c r="M18" s="106">
        <f>L18*18%</f>
        <v>0</v>
      </c>
      <c r="N18" s="106">
        <f>L18+M18</f>
        <v>0</v>
      </c>
    </row>
    <row r="19" spans="2:20" ht="27" customHeight="1" x14ac:dyDescent="0.5">
      <c r="B19" s="101">
        <v>44006</v>
      </c>
      <c r="C19" s="107" t="s">
        <v>66</v>
      </c>
      <c r="D19" s="103">
        <v>44006</v>
      </c>
      <c r="E19" s="108" t="s">
        <v>215</v>
      </c>
      <c r="F19" s="109" t="s">
        <v>51</v>
      </c>
      <c r="G19" s="109">
        <v>1</v>
      </c>
      <c r="H19" s="109">
        <v>2</v>
      </c>
      <c r="I19" s="109">
        <v>1</v>
      </c>
      <c r="J19" s="105">
        <f>+H19-I19</f>
        <v>1</v>
      </c>
      <c r="K19" s="106">
        <v>440</v>
      </c>
      <c r="L19" s="106">
        <f>J19*K19</f>
        <v>440</v>
      </c>
      <c r="M19" s="106">
        <f>L19*18%</f>
        <v>79.2</v>
      </c>
      <c r="N19" s="106">
        <f>L19+M19</f>
        <v>519.20000000000005</v>
      </c>
    </row>
    <row r="20" spans="2:20" ht="27" customHeight="1" x14ac:dyDescent="0.5">
      <c r="B20" s="286" t="s">
        <v>130</v>
      </c>
      <c r="C20" s="287"/>
      <c r="D20" s="287"/>
      <c r="E20" s="287"/>
      <c r="F20" s="287"/>
      <c r="G20" s="113"/>
      <c r="H20" s="113"/>
      <c r="I20" s="113"/>
      <c r="J20" s="113"/>
      <c r="K20" s="113"/>
      <c r="L20" s="113"/>
      <c r="M20" s="113"/>
      <c r="N20" s="114">
        <f>SUM(N21:N24)</f>
        <v>89963.199999999997</v>
      </c>
    </row>
    <row r="21" spans="2:20" ht="37.5" customHeight="1" x14ac:dyDescent="0.5">
      <c r="B21" s="101">
        <v>44517</v>
      </c>
      <c r="C21" s="102" t="s">
        <v>46</v>
      </c>
      <c r="D21" s="115">
        <v>44743</v>
      </c>
      <c r="E21" s="104" t="s">
        <v>21</v>
      </c>
      <c r="F21" s="109" t="s">
        <v>51</v>
      </c>
      <c r="G21" s="111">
        <v>208</v>
      </c>
      <c r="H21" s="105">
        <f>300+2</f>
        <v>302</v>
      </c>
      <c r="I21" s="105">
        <f>257+1</f>
        <v>258</v>
      </c>
      <c r="J21" s="105">
        <f>+H21-I21</f>
        <v>44</v>
      </c>
      <c r="K21" s="106">
        <v>900</v>
      </c>
      <c r="L21" s="106">
        <f>J21*K21</f>
        <v>39600</v>
      </c>
      <c r="M21" s="106">
        <f>L21*18%</f>
        <v>7128</v>
      </c>
      <c r="N21" s="106">
        <f>L21+M21</f>
        <v>46728</v>
      </c>
    </row>
    <row r="22" spans="2:20" ht="38.25" customHeight="1" x14ac:dyDescent="0.5">
      <c r="B22" s="101">
        <v>44001</v>
      </c>
      <c r="C22" s="102" t="s">
        <v>186</v>
      </c>
      <c r="D22" s="103">
        <v>44001</v>
      </c>
      <c r="E22" s="116" t="s">
        <v>203</v>
      </c>
      <c r="F22" s="109" t="s">
        <v>51</v>
      </c>
      <c r="G22" s="110">
        <v>0</v>
      </c>
      <c r="H22" s="105">
        <v>0</v>
      </c>
      <c r="I22" s="218">
        <v>0</v>
      </c>
      <c r="J22" s="105">
        <f>+H22-I22</f>
        <v>0</v>
      </c>
      <c r="K22" s="106">
        <v>260</v>
      </c>
      <c r="L22" s="106">
        <f>J22*K22</f>
        <v>0</v>
      </c>
      <c r="M22" s="106">
        <f>L22*18%</f>
        <v>0</v>
      </c>
      <c r="N22" s="106">
        <f>L22+M22</f>
        <v>0</v>
      </c>
    </row>
    <row r="23" spans="2:20" ht="41.25" customHeight="1" x14ac:dyDescent="0.5">
      <c r="B23" s="101">
        <v>44517</v>
      </c>
      <c r="C23" s="102" t="s">
        <v>47</v>
      </c>
      <c r="D23" s="115">
        <v>45775</v>
      </c>
      <c r="E23" s="116" t="s">
        <v>267</v>
      </c>
      <c r="F23" s="109" t="s">
        <v>51</v>
      </c>
      <c r="G23" s="109">
        <v>210</v>
      </c>
      <c r="H23" s="111">
        <f>130+40</f>
        <v>170</v>
      </c>
      <c r="I23" s="111">
        <f>133+1</f>
        <v>134</v>
      </c>
      <c r="J23" s="105">
        <f>+H23-I23</f>
        <v>36</v>
      </c>
      <c r="K23" s="117">
        <v>1000</v>
      </c>
      <c r="L23" s="106">
        <f>J23*K23</f>
        <v>36000</v>
      </c>
      <c r="M23" s="106">
        <f>L23*18%</f>
        <v>6480</v>
      </c>
      <c r="N23" s="106">
        <f>L23+M23</f>
        <v>42480</v>
      </c>
    </row>
    <row r="24" spans="2:20" ht="39" customHeight="1" x14ac:dyDescent="0.5">
      <c r="B24" s="101">
        <v>44517</v>
      </c>
      <c r="C24" s="107" t="s">
        <v>48</v>
      </c>
      <c r="D24" s="103">
        <v>44760</v>
      </c>
      <c r="E24" s="108" t="s">
        <v>64</v>
      </c>
      <c r="F24" s="109" t="s">
        <v>51</v>
      </c>
      <c r="G24" s="109">
        <v>5</v>
      </c>
      <c r="H24" s="109">
        <f>20+10</f>
        <v>30</v>
      </c>
      <c r="I24" s="109">
        <f>24+1+1</f>
        <v>26</v>
      </c>
      <c r="J24" s="105">
        <f>+H24-I24</f>
        <v>4</v>
      </c>
      <c r="K24" s="118">
        <v>160</v>
      </c>
      <c r="L24" s="119">
        <f>J24*K24</f>
        <v>640</v>
      </c>
      <c r="M24" s="119">
        <f>L24*18%</f>
        <v>115.19999999999999</v>
      </c>
      <c r="N24" s="119">
        <f>L24+M24</f>
        <v>755.2</v>
      </c>
    </row>
    <row r="25" spans="2:20" ht="31.5" customHeight="1" x14ac:dyDescent="0.5">
      <c r="B25" s="286" t="s">
        <v>131</v>
      </c>
      <c r="C25" s="287"/>
      <c r="D25" s="287"/>
      <c r="E25" s="287"/>
      <c r="F25" s="287"/>
      <c r="G25" s="113"/>
      <c r="H25" s="113"/>
      <c r="I25" s="113"/>
      <c r="J25" s="113"/>
      <c r="K25" s="113"/>
      <c r="L25" s="113"/>
      <c r="M25" s="113"/>
      <c r="N25" s="114">
        <f>SUM(N26:N32)</f>
        <v>18464.592800000002</v>
      </c>
    </row>
    <row r="26" spans="2:20" ht="35.25" customHeight="1" x14ac:dyDescent="0.5">
      <c r="B26" s="219">
        <v>42958</v>
      </c>
      <c r="C26" s="220" t="s">
        <v>67</v>
      </c>
      <c r="D26" s="221">
        <v>44788</v>
      </c>
      <c r="E26" s="120" t="s">
        <v>8</v>
      </c>
      <c r="F26" s="110" t="s">
        <v>9</v>
      </c>
      <c r="G26" s="110">
        <v>0</v>
      </c>
      <c r="H26" s="110">
        <v>9</v>
      </c>
      <c r="I26" s="110">
        <v>3</v>
      </c>
      <c r="J26" s="105">
        <f>+H26-I26</f>
        <v>6</v>
      </c>
      <c r="K26" s="119">
        <v>1892.66</v>
      </c>
      <c r="L26" s="119">
        <f>J26*K26</f>
        <v>11355.960000000001</v>
      </c>
      <c r="M26" s="119">
        <f t="shared" ref="M26:M32" si="0">L26*18%</f>
        <v>2044.0728000000001</v>
      </c>
      <c r="N26" s="119">
        <f t="shared" ref="N26:N32" si="1">L26+M26</f>
        <v>13400.032800000001</v>
      </c>
    </row>
    <row r="27" spans="2:20" x14ac:dyDescent="0.5">
      <c r="B27" s="121">
        <v>43418</v>
      </c>
      <c r="C27" s="122" t="s">
        <v>176</v>
      </c>
      <c r="D27" s="115">
        <v>43418</v>
      </c>
      <c r="E27" s="116" t="s">
        <v>407</v>
      </c>
      <c r="F27" s="111" t="s">
        <v>51</v>
      </c>
      <c r="G27" s="111">
        <v>0</v>
      </c>
      <c r="H27" s="111">
        <v>105</v>
      </c>
      <c r="I27" s="111">
        <v>0</v>
      </c>
      <c r="J27" s="105">
        <v>6</v>
      </c>
      <c r="K27" s="117">
        <v>319</v>
      </c>
      <c r="L27" s="117">
        <f>J27*K27</f>
        <v>1914</v>
      </c>
      <c r="M27" s="117">
        <f t="shared" si="0"/>
        <v>344.52</v>
      </c>
      <c r="N27" s="117">
        <f t="shared" si="1"/>
        <v>2258.52</v>
      </c>
    </row>
    <row r="28" spans="2:20" ht="38.25" customHeight="1" x14ac:dyDescent="0.5">
      <c r="B28" s="121">
        <v>43418</v>
      </c>
      <c r="C28" s="122" t="s">
        <v>117</v>
      </c>
      <c r="D28" s="115">
        <v>43418</v>
      </c>
      <c r="E28" s="116" t="s">
        <v>123</v>
      </c>
      <c r="F28" s="111" t="s">
        <v>51</v>
      </c>
      <c r="G28" s="111">
        <v>0</v>
      </c>
      <c r="H28" s="111">
        <v>3</v>
      </c>
      <c r="I28" s="111">
        <v>3</v>
      </c>
      <c r="J28" s="105">
        <f t="shared" ref="J28:J32" si="2">+H28-I28</f>
        <v>0</v>
      </c>
      <c r="K28" s="117">
        <v>575</v>
      </c>
      <c r="L28" s="117">
        <f t="shared" ref="L28:L32" si="3">J28*K28</f>
        <v>0</v>
      </c>
      <c r="M28" s="117">
        <f t="shared" si="0"/>
        <v>0</v>
      </c>
      <c r="N28" s="117">
        <f t="shared" si="1"/>
        <v>0</v>
      </c>
    </row>
    <row r="29" spans="2:20" x14ac:dyDescent="0.5">
      <c r="B29" s="121">
        <v>43418</v>
      </c>
      <c r="C29" s="122" t="s">
        <v>116</v>
      </c>
      <c r="D29" s="115">
        <v>43418</v>
      </c>
      <c r="E29" s="116" t="s">
        <v>198</v>
      </c>
      <c r="F29" s="111" t="s">
        <v>51</v>
      </c>
      <c r="G29" s="111">
        <v>0</v>
      </c>
      <c r="H29" s="111">
        <v>22</v>
      </c>
      <c r="I29" s="111">
        <v>22</v>
      </c>
      <c r="J29" s="105">
        <f t="shared" si="2"/>
        <v>0</v>
      </c>
      <c r="K29" s="117">
        <v>458</v>
      </c>
      <c r="L29" s="117">
        <f t="shared" si="3"/>
        <v>0</v>
      </c>
      <c r="M29" s="117">
        <f t="shared" si="0"/>
        <v>0</v>
      </c>
      <c r="N29" s="117">
        <f t="shared" si="1"/>
        <v>0</v>
      </c>
    </row>
    <row r="30" spans="2:20" ht="30.75" customHeight="1" x14ac:dyDescent="0.5">
      <c r="B30" s="121">
        <v>43418</v>
      </c>
      <c r="C30" s="122" t="s">
        <v>121</v>
      </c>
      <c r="D30" s="115">
        <v>43419</v>
      </c>
      <c r="E30" s="116" t="s">
        <v>122</v>
      </c>
      <c r="F30" s="111" t="s">
        <v>51</v>
      </c>
      <c r="G30" s="111">
        <v>0</v>
      </c>
      <c r="H30" s="111">
        <v>20</v>
      </c>
      <c r="I30" s="111">
        <v>20</v>
      </c>
      <c r="J30" s="105">
        <f t="shared" si="2"/>
        <v>0</v>
      </c>
      <c r="K30" s="117">
        <v>130</v>
      </c>
      <c r="L30" s="117">
        <f t="shared" si="3"/>
        <v>0</v>
      </c>
      <c r="M30" s="117">
        <f t="shared" si="0"/>
        <v>0</v>
      </c>
      <c r="N30" s="117">
        <f t="shared" si="1"/>
        <v>0</v>
      </c>
      <c r="T30" s="77" t="s">
        <v>200</v>
      </c>
    </row>
    <row r="31" spans="2:20" ht="27.75" customHeight="1" x14ac:dyDescent="0.5">
      <c r="B31" s="143">
        <v>43011</v>
      </c>
      <c r="C31" s="144" t="s">
        <v>181</v>
      </c>
      <c r="D31" s="145">
        <v>43011</v>
      </c>
      <c r="E31" s="222" t="s">
        <v>246</v>
      </c>
      <c r="F31" s="148" t="s">
        <v>51</v>
      </c>
      <c r="G31" s="148">
        <v>0</v>
      </c>
      <c r="H31" s="148">
        <v>100</v>
      </c>
      <c r="I31" s="148">
        <f>92+4+2+1</f>
        <v>99</v>
      </c>
      <c r="J31" s="105">
        <v>2</v>
      </c>
      <c r="K31" s="149">
        <v>45</v>
      </c>
      <c r="L31" s="149">
        <f t="shared" si="3"/>
        <v>90</v>
      </c>
      <c r="M31" s="149">
        <f t="shared" si="0"/>
        <v>16.2</v>
      </c>
      <c r="N31" s="149">
        <f t="shared" si="1"/>
        <v>106.2</v>
      </c>
    </row>
    <row r="32" spans="2:20" x14ac:dyDescent="0.5">
      <c r="B32" s="121">
        <v>42958</v>
      </c>
      <c r="C32" s="122" t="s">
        <v>68</v>
      </c>
      <c r="D32" s="115">
        <v>42958</v>
      </c>
      <c r="E32" s="116" t="s">
        <v>6</v>
      </c>
      <c r="F32" s="111" t="s">
        <v>51</v>
      </c>
      <c r="G32" s="111">
        <v>46</v>
      </c>
      <c r="H32" s="111">
        <v>107</v>
      </c>
      <c r="I32" s="111">
        <f>17+2</f>
        <v>19</v>
      </c>
      <c r="J32" s="105">
        <f t="shared" si="2"/>
        <v>88</v>
      </c>
      <c r="K32" s="117">
        <v>26</v>
      </c>
      <c r="L32" s="117">
        <f t="shared" si="3"/>
        <v>2288</v>
      </c>
      <c r="M32" s="117">
        <f t="shared" si="0"/>
        <v>411.84</v>
      </c>
      <c r="N32" s="117">
        <f t="shared" si="1"/>
        <v>2699.84</v>
      </c>
    </row>
    <row r="33" spans="2:14" ht="32.25" customHeight="1" x14ac:dyDescent="0.5">
      <c r="B33" s="129"/>
      <c r="C33" s="130"/>
      <c r="D33" s="285" t="s">
        <v>129</v>
      </c>
      <c r="E33" s="285"/>
      <c r="F33" s="285"/>
      <c r="G33" s="131"/>
      <c r="H33" s="112"/>
      <c r="I33" s="112" t="s">
        <v>258</v>
      </c>
      <c r="J33" s="113"/>
      <c r="K33" s="132"/>
      <c r="L33" s="133"/>
      <c r="M33" s="133"/>
      <c r="N33" s="134">
        <f>SUM(N34:N204)</f>
        <v>892056.42142000026</v>
      </c>
    </row>
    <row r="34" spans="2:14" s="90" customFormat="1" ht="37.5" customHeight="1" x14ac:dyDescent="0.5">
      <c r="B34" s="135">
        <v>43585</v>
      </c>
      <c r="C34" s="136" t="s">
        <v>134</v>
      </c>
      <c r="D34" s="137">
        <v>44788</v>
      </c>
      <c r="E34" s="138" t="s">
        <v>139</v>
      </c>
      <c r="F34" s="140" t="s">
        <v>51</v>
      </c>
      <c r="G34" s="139">
        <v>9</v>
      </c>
      <c r="H34" s="139">
        <v>124</v>
      </c>
      <c r="I34" s="140">
        <v>2</v>
      </c>
      <c r="J34" s="140">
        <f t="shared" ref="J34:J89" si="4">H34-I34</f>
        <v>122</v>
      </c>
      <c r="K34" s="141">
        <v>35</v>
      </c>
      <c r="L34" s="142">
        <f t="shared" ref="L34:L75" si="5">J34*K34</f>
        <v>4270</v>
      </c>
      <c r="M34" s="141">
        <f t="shared" ref="M34:M89" si="6">L34*18%</f>
        <v>768.6</v>
      </c>
      <c r="N34" s="142">
        <f t="shared" ref="N34:N89" si="7">L34+M34</f>
        <v>5038.6000000000004</v>
      </c>
    </row>
    <row r="35" spans="2:14" ht="35.25" customHeight="1" x14ac:dyDescent="0.5">
      <c r="B35" s="121">
        <v>43585</v>
      </c>
      <c r="C35" s="122" t="s">
        <v>134</v>
      </c>
      <c r="D35" s="115">
        <v>44788</v>
      </c>
      <c r="E35" s="104" t="s">
        <v>420</v>
      </c>
      <c r="F35" s="111" t="s">
        <v>51</v>
      </c>
      <c r="G35" s="105">
        <v>0</v>
      </c>
      <c r="H35" s="105">
        <v>60</v>
      </c>
      <c r="I35" s="111">
        <v>20</v>
      </c>
      <c r="J35" s="111">
        <f t="shared" ref="J35" si="8">H35-I35</f>
        <v>40</v>
      </c>
      <c r="K35" s="117">
        <v>52</v>
      </c>
      <c r="L35" s="106">
        <f t="shared" ref="L35" si="9">J35*K35</f>
        <v>2080</v>
      </c>
      <c r="M35" s="117">
        <f t="shared" ref="M35" si="10">L35*18%</f>
        <v>374.4</v>
      </c>
      <c r="N35" s="106">
        <f t="shared" ref="N35" si="11">L35+M35</f>
        <v>2454.4</v>
      </c>
    </row>
    <row r="36" spans="2:14" ht="35.25" customHeight="1" x14ac:dyDescent="0.5">
      <c r="B36" s="121">
        <v>43053</v>
      </c>
      <c r="C36" s="122" t="s">
        <v>115</v>
      </c>
      <c r="D36" s="115">
        <v>43053</v>
      </c>
      <c r="E36" s="116" t="s">
        <v>412</v>
      </c>
      <c r="F36" s="111" t="s">
        <v>9</v>
      </c>
      <c r="G36" s="111">
        <v>4</v>
      </c>
      <c r="H36" s="111">
        <v>30</v>
      </c>
      <c r="I36" s="111">
        <v>0</v>
      </c>
      <c r="J36" s="105">
        <f t="shared" ref="J36" si="12">+H36-I36</f>
        <v>30</v>
      </c>
      <c r="K36" s="117">
        <v>720</v>
      </c>
      <c r="L36" s="117">
        <f t="shared" si="5"/>
        <v>21600</v>
      </c>
      <c r="M36" s="117">
        <f t="shared" si="6"/>
        <v>3888</v>
      </c>
      <c r="N36" s="117">
        <f t="shared" si="7"/>
        <v>25488</v>
      </c>
    </row>
    <row r="37" spans="2:14" s="90" customFormat="1" ht="35.25" customHeight="1" x14ac:dyDescent="0.5">
      <c r="B37" s="135">
        <v>43418</v>
      </c>
      <c r="C37" s="136" t="s">
        <v>111</v>
      </c>
      <c r="D37" s="137">
        <v>43418</v>
      </c>
      <c r="E37" s="151" t="s">
        <v>406</v>
      </c>
      <c r="F37" s="140" t="str">
        <f>F36</f>
        <v>CJ.</v>
      </c>
      <c r="G37" s="140">
        <v>1200</v>
      </c>
      <c r="H37" s="140">
        <v>100</v>
      </c>
      <c r="I37" s="140">
        <v>18</v>
      </c>
      <c r="J37" s="139">
        <f>+H37-I37</f>
        <v>82</v>
      </c>
      <c r="K37" s="141">
        <v>192</v>
      </c>
      <c r="L37" s="141">
        <f t="shared" si="5"/>
        <v>15744</v>
      </c>
      <c r="M37" s="141">
        <f t="shared" si="6"/>
        <v>2833.92</v>
      </c>
      <c r="N37" s="141">
        <f t="shared" si="7"/>
        <v>18577.919999999998</v>
      </c>
    </row>
    <row r="38" spans="2:14" ht="35.25" customHeight="1" x14ac:dyDescent="0.5">
      <c r="B38" s="121">
        <v>43418</v>
      </c>
      <c r="C38" s="122" t="s">
        <v>114</v>
      </c>
      <c r="D38" s="115">
        <v>43418</v>
      </c>
      <c r="E38" s="116" t="s">
        <v>411</v>
      </c>
      <c r="F38" s="111" t="s">
        <v>51</v>
      </c>
      <c r="G38" s="111">
        <v>300</v>
      </c>
      <c r="H38" s="111">
        <v>30</v>
      </c>
      <c r="I38" s="111">
        <v>0</v>
      </c>
      <c r="J38" s="105">
        <v>30</v>
      </c>
      <c r="K38" s="117">
        <v>586</v>
      </c>
      <c r="L38" s="117">
        <f t="shared" si="5"/>
        <v>17580</v>
      </c>
      <c r="M38" s="117">
        <f t="shared" si="6"/>
        <v>3164.4</v>
      </c>
      <c r="N38" s="117">
        <f t="shared" si="7"/>
        <v>20744.400000000001</v>
      </c>
    </row>
    <row r="39" spans="2:14" ht="32.25" customHeight="1" x14ac:dyDescent="0.5">
      <c r="B39" s="121">
        <v>43586</v>
      </c>
      <c r="C39" s="122" t="s">
        <v>136</v>
      </c>
      <c r="D39" s="115">
        <v>44788</v>
      </c>
      <c r="E39" s="104" t="s">
        <v>208</v>
      </c>
      <c r="F39" s="111" t="s">
        <v>9</v>
      </c>
      <c r="G39" s="105">
        <v>69</v>
      </c>
      <c r="H39" s="105">
        <v>140</v>
      </c>
      <c r="I39" s="105">
        <v>126</v>
      </c>
      <c r="J39" s="111">
        <f>H39-I39</f>
        <v>14</v>
      </c>
      <c r="K39" s="117">
        <v>14</v>
      </c>
      <c r="L39" s="106">
        <f t="shared" si="5"/>
        <v>196</v>
      </c>
      <c r="M39" s="117">
        <f t="shared" si="6"/>
        <v>35.28</v>
      </c>
      <c r="N39" s="106">
        <f t="shared" si="7"/>
        <v>231.28</v>
      </c>
    </row>
    <row r="40" spans="2:14" ht="30" customHeight="1" x14ac:dyDescent="0.5">
      <c r="B40" s="135">
        <v>43586</v>
      </c>
      <c r="C40" s="136" t="s">
        <v>135</v>
      </c>
      <c r="D40" s="137">
        <v>43586</v>
      </c>
      <c r="E40" s="138" t="s">
        <v>140</v>
      </c>
      <c r="F40" s="111" t="s">
        <v>9</v>
      </c>
      <c r="G40" s="105">
        <v>64</v>
      </c>
      <c r="H40" s="139">
        <v>160</v>
      </c>
      <c r="I40" s="139">
        <v>149</v>
      </c>
      <c r="J40" s="140">
        <f>H40-I40</f>
        <v>11</v>
      </c>
      <c r="K40" s="141">
        <v>29</v>
      </c>
      <c r="L40" s="142">
        <f t="shared" si="5"/>
        <v>319</v>
      </c>
      <c r="M40" s="141">
        <f t="shared" si="6"/>
        <v>57.419999999999995</v>
      </c>
      <c r="N40" s="142">
        <f t="shared" si="7"/>
        <v>376.42</v>
      </c>
    </row>
    <row r="41" spans="2:14" ht="37.5" customHeight="1" x14ac:dyDescent="0.5">
      <c r="B41" s="121">
        <v>44007</v>
      </c>
      <c r="C41" s="122" t="s">
        <v>188</v>
      </c>
      <c r="D41" s="115">
        <v>44007</v>
      </c>
      <c r="E41" s="104" t="s">
        <v>205</v>
      </c>
      <c r="F41" s="105" t="s">
        <v>9</v>
      </c>
      <c r="G41" s="105">
        <v>10</v>
      </c>
      <c r="H41" s="105">
        <v>75</v>
      </c>
      <c r="I41" s="105">
        <f>12+1</f>
        <v>13</v>
      </c>
      <c r="J41" s="111">
        <f t="shared" si="4"/>
        <v>62</v>
      </c>
      <c r="K41" s="117">
        <v>104</v>
      </c>
      <c r="L41" s="106">
        <f t="shared" si="5"/>
        <v>6448</v>
      </c>
      <c r="M41" s="117">
        <f t="shared" si="6"/>
        <v>1160.6399999999999</v>
      </c>
      <c r="N41" s="106">
        <f t="shared" si="7"/>
        <v>7608.6399999999994</v>
      </c>
    </row>
    <row r="42" spans="2:14" ht="37.5" customHeight="1" x14ac:dyDescent="0.5">
      <c r="B42" s="143">
        <f>B38</f>
        <v>43418</v>
      </c>
      <c r="C42" s="144" t="s">
        <v>188</v>
      </c>
      <c r="D42" s="145">
        <f>D38</f>
        <v>43418</v>
      </c>
      <c r="E42" s="146" t="s">
        <v>415</v>
      </c>
      <c r="F42" s="147" t="s">
        <v>51</v>
      </c>
      <c r="G42" s="147">
        <v>0</v>
      </c>
      <c r="H42" s="147">
        <v>3</v>
      </c>
      <c r="I42" s="147">
        <v>1</v>
      </c>
      <c r="J42" s="111">
        <f t="shared" si="4"/>
        <v>2</v>
      </c>
      <c r="K42" s="149">
        <v>1430</v>
      </c>
      <c r="L42" s="150">
        <f t="shared" ref="L42" si="13">J42*K42</f>
        <v>2860</v>
      </c>
      <c r="M42" s="149">
        <f t="shared" ref="M42" si="14">L42*18%</f>
        <v>514.79999999999995</v>
      </c>
      <c r="N42" s="150">
        <f t="shared" ref="N42" si="15">L42+M42</f>
        <v>3374.8</v>
      </c>
    </row>
    <row r="43" spans="2:14" ht="37.5" customHeight="1" x14ac:dyDescent="0.5">
      <c r="B43" s="143">
        <f>B39</f>
        <v>43586</v>
      </c>
      <c r="C43" s="144" t="s">
        <v>188</v>
      </c>
      <c r="D43" s="145">
        <f>D39</f>
        <v>44788</v>
      </c>
      <c r="E43" s="146" t="s">
        <v>414</v>
      </c>
      <c r="F43" s="147" t="s">
        <v>9</v>
      </c>
      <c r="G43" s="147">
        <v>0</v>
      </c>
      <c r="H43" s="147">
        <v>3</v>
      </c>
      <c r="I43" s="147">
        <v>0</v>
      </c>
      <c r="J43" s="111">
        <v>3</v>
      </c>
      <c r="K43" s="149">
        <v>3023</v>
      </c>
      <c r="L43" s="150">
        <f t="shared" ref="L43:L44" si="16">J43*K43</f>
        <v>9069</v>
      </c>
      <c r="M43" s="149">
        <f t="shared" ref="M43:M44" si="17">L43*18%</f>
        <v>1632.4199999999998</v>
      </c>
      <c r="N43" s="150">
        <f t="shared" ref="N43:N44" si="18">L43+M43</f>
        <v>10701.42</v>
      </c>
    </row>
    <row r="44" spans="2:14" ht="37.5" customHeight="1" x14ac:dyDescent="0.5">
      <c r="B44" s="143">
        <f>B40</f>
        <v>43586</v>
      </c>
      <c r="C44" s="144" t="s">
        <v>188</v>
      </c>
      <c r="D44" s="145">
        <f>D40</f>
        <v>43586</v>
      </c>
      <c r="E44" s="146" t="s">
        <v>413</v>
      </c>
      <c r="F44" s="147" t="s">
        <v>51</v>
      </c>
      <c r="G44" s="147">
        <v>0</v>
      </c>
      <c r="H44" s="147">
        <v>3</v>
      </c>
      <c r="I44" s="147">
        <v>1</v>
      </c>
      <c r="J44" s="111">
        <v>2</v>
      </c>
      <c r="K44" s="149">
        <v>4225</v>
      </c>
      <c r="L44" s="150">
        <f t="shared" si="16"/>
        <v>8450</v>
      </c>
      <c r="M44" s="149">
        <f t="shared" si="17"/>
        <v>1521</v>
      </c>
      <c r="N44" s="150">
        <f t="shared" si="18"/>
        <v>9971</v>
      </c>
    </row>
    <row r="45" spans="2:14" s="89" customFormat="1" x14ac:dyDescent="0.5">
      <c r="B45" s="143">
        <f>B41</f>
        <v>44007</v>
      </c>
      <c r="C45" s="144" t="s">
        <v>188</v>
      </c>
      <c r="D45" s="145">
        <f>D41</f>
        <v>44007</v>
      </c>
      <c r="E45" s="146" t="s">
        <v>250</v>
      </c>
      <c r="F45" s="147" t="s">
        <v>51</v>
      </c>
      <c r="G45" s="147">
        <v>490</v>
      </c>
      <c r="H45" s="147">
        <v>500</v>
      </c>
      <c r="I45" s="147">
        <v>0</v>
      </c>
      <c r="J45" s="148">
        <f t="shared" si="4"/>
        <v>500</v>
      </c>
      <c r="K45" s="149">
        <v>0.87</v>
      </c>
      <c r="L45" s="150">
        <f t="shared" si="5"/>
        <v>435</v>
      </c>
      <c r="M45" s="149">
        <f t="shared" si="6"/>
        <v>78.3</v>
      </c>
      <c r="N45" s="150">
        <f t="shared" si="7"/>
        <v>513.29999999999995</v>
      </c>
    </row>
    <row r="46" spans="2:14" s="89" customFormat="1" x14ac:dyDescent="0.5">
      <c r="B46" s="143">
        <f>B45</f>
        <v>44007</v>
      </c>
      <c r="C46" s="144" t="s">
        <v>188</v>
      </c>
      <c r="D46" s="145">
        <f>D45</f>
        <v>44007</v>
      </c>
      <c r="E46" s="146" t="s">
        <v>251</v>
      </c>
      <c r="F46" s="147" t="str">
        <f>F39</f>
        <v>CJ.</v>
      </c>
      <c r="G46" s="147">
        <v>2387</v>
      </c>
      <c r="H46" s="147">
        <v>3000</v>
      </c>
      <c r="I46" s="147">
        <f>670+20</f>
        <v>690</v>
      </c>
      <c r="J46" s="148">
        <f t="shared" si="4"/>
        <v>2310</v>
      </c>
      <c r="K46" s="149">
        <v>0.86399999999999999</v>
      </c>
      <c r="L46" s="150">
        <f t="shared" si="5"/>
        <v>1995.84</v>
      </c>
      <c r="M46" s="149">
        <f t="shared" si="6"/>
        <v>359.25119999999998</v>
      </c>
      <c r="N46" s="150">
        <f t="shared" si="7"/>
        <v>2355.0911999999998</v>
      </c>
    </row>
    <row r="47" spans="2:14" ht="33.75" customHeight="1" x14ac:dyDescent="0.5">
      <c r="B47" s="121">
        <v>44007</v>
      </c>
      <c r="C47" s="122" t="s">
        <v>189</v>
      </c>
      <c r="D47" s="115">
        <v>44007</v>
      </c>
      <c r="E47" s="104" t="s">
        <v>206</v>
      </c>
      <c r="F47" s="105" t="s">
        <v>9</v>
      </c>
      <c r="G47" s="105">
        <v>0</v>
      </c>
      <c r="H47" s="105">
        <v>63</v>
      </c>
      <c r="I47" s="105">
        <v>58</v>
      </c>
      <c r="J47" s="111">
        <f>H47-I47</f>
        <v>5</v>
      </c>
      <c r="K47" s="117">
        <v>77</v>
      </c>
      <c r="L47" s="106">
        <f t="shared" si="5"/>
        <v>385</v>
      </c>
      <c r="M47" s="117">
        <f t="shared" si="6"/>
        <v>69.3</v>
      </c>
      <c r="N47" s="106">
        <f t="shared" si="7"/>
        <v>454.3</v>
      </c>
    </row>
    <row r="48" spans="2:14" ht="39.75" customHeight="1" x14ac:dyDescent="0.5">
      <c r="B48" s="121">
        <v>44007</v>
      </c>
      <c r="C48" s="122" t="s">
        <v>216</v>
      </c>
      <c r="D48" s="115">
        <v>44007</v>
      </c>
      <c r="E48" s="104" t="s">
        <v>217</v>
      </c>
      <c r="F48" s="105" t="s">
        <v>9</v>
      </c>
      <c r="G48" s="105">
        <v>0</v>
      </c>
      <c r="H48" s="105">
        <v>62</v>
      </c>
      <c r="I48" s="105">
        <v>65</v>
      </c>
      <c r="J48" s="111">
        <f>I48-H48</f>
        <v>3</v>
      </c>
      <c r="K48" s="117">
        <v>21.42</v>
      </c>
      <c r="L48" s="106">
        <f t="shared" si="5"/>
        <v>64.260000000000005</v>
      </c>
      <c r="M48" s="117">
        <f t="shared" si="6"/>
        <v>11.566800000000001</v>
      </c>
      <c r="N48" s="106">
        <f t="shared" si="7"/>
        <v>75.826800000000006</v>
      </c>
    </row>
    <row r="49" spans="1:14" ht="39.75" customHeight="1" x14ac:dyDescent="0.5">
      <c r="B49" s="121">
        <v>44007</v>
      </c>
      <c r="C49" s="122" t="s">
        <v>196</v>
      </c>
      <c r="D49" s="115">
        <v>44007</v>
      </c>
      <c r="E49" s="104" t="s">
        <v>207</v>
      </c>
      <c r="F49" s="105" t="s">
        <v>9</v>
      </c>
      <c r="G49" s="105">
        <v>0</v>
      </c>
      <c r="H49" s="105">
        <v>65</v>
      </c>
      <c r="I49" s="105">
        <v>60</v>
      </c>
      <c r="J49" s="111">
        <f t="shared" si="4"/>
        <v>5</v>
      </c>
      <c r="K49" s="117">
        <v>61</v>
      </c>
      <c r="L49" s="106">
        <f t="shared" si="5"/>
        <v>305</v>
      </c>
      <c r="M49" s="117">
        <f t="shared" si="6"/>
        <v>54.9</v>
      </c>
      <c r="N49" s="106">
        <f t="shared" si="7"/>
        <v>359.9</v>
      </c>
    </row>
    <row r="50" spans="1:14" s="90" customFormat="1" ht="36.75" customHeight="1" x14ac:dyDescent="0.5">
      <c r="B50" s="135">
        <v>44788</v>
      </c>
      <c r="C50" s="136" t="s">
        <v>111</v>
      </c>
      <c r="D50" s="137">
        <v>44788</v>
      </c>
      <c r="E50" s="151" t="s">
        <v>382</v>
      </c>
      <c r="F50" s="140" t="s">
        <v>51</v>
      </c>
      <c r="G50" s="140">
        <v>0</v>
      </c>
      <c r="H50" s="140">
        <v>20</v>
      </c>
      <c r="I50" s="140">
        <f>15+1</f>
        <v>16</v>
      </c>
      <c r="J50" s="139">
        <f t="shared" ref="J50" si="19">+H50-I50</f>
        <v>4</v>
      </c>
      <c r="K50" s="141">
        <v>150.53</v>
      </c>
      <c r="L50" s="141">
        <f t="shared" si="5"/>
        <v>602.12</v>
      </c>
      <c r="M50" s="141">
        <f t="shared" si="6"/>
        <v>108.38159999999999</v>
      </c>
      <c r="N50" s="141">
        <f t="shared" si="7"/>
        <v>710.50160000000005</v>
      </c>
    </row>
    <row r="51" spans="1:14" ht="30" customHeight="1" x14ac:dyDescent="0.5">
      <c r="B51" s="121">
        <v>44007</v>
      </c>
      <c r="C51" s="122" t="s">
        <v>209</v>
      </c>
      <c r="D51" s="115">
        <v>44007</v>
      </c>
      <c r="E51" s="104" t="s">
        <v>210</v>
      </c>
      <c r="F51" s="105" t="s">
        <v>11</v>
      </c>
      <c r="G51" s="105">
        <v>20</v>
      </c>
      <c r="H51" s="105">
        <v>29</v>
      </c>
      <c r="I51" s="105">
        <v>0</v>
      </c>
      <c r="J51" s="111">
        <f t="shared" si="4"/>
        <v>29</v>
      </c>
      <c r="K51" s="117">
        <v>60</v>
      </c>
      <c r="L51" s="106">
        <f t="shared" si="5"/>
        <v>1740</v>
      </c>
      <c r="M51" s="117">
        <f t="shared" si="6"/>
        <v>313.2</v>
      </c>
      <c r="N51" s="106">
        <f t="shared" si="7"/>
        <v>2053.1999999999998</v>
      </c>
    </row>
    <row r="52" spans="1:14" s="90" customFormat="1" ht="30" customHeight="1" x14ac:dyDescent="0.5">
      <c r="B52" s="135">
        <v>44007</v>
      </c>
      <c r="C52" s="136" t="s">
        <v>218</v>
      </c>
      <c r="D52" s="137">
        <v>44007</v>
      </c>
      <c r="E52" s="138" t="s">
        <v>219</v>
      </c>
      <c r="F52" s="139" t="s">
        <v>9</v>
      </c>
      <c r="G52" s="139">
        <v>57</v>
      </c>
      <c r="H52" s="139">
        <v>59</v>
      </c>
      <c r="I52" s="139">
        <v>29</v>
      </c>
      <c r="J52" s="140">
        <f t="shared" si="4"/>
        <v>30</v>
      </c>
      <c r="K52" s="141">
        <v>16.61</v>
      </c>
      <c r="L52" s="142">
        <f t="shared" si="5"/>
        <v>498.29999999999995</v>
      </c>
      <c r="M52" s="141">
        <f t="shared" si="6"/>
        <v>89.693999999999988</v>
      </c>
      <c r="N52" s="142">
        <f t="shared" si="7"/>
        <v>587.99399999999991</v>
      </c>
    </row>
    <row r="53" spans="1:14" s="90" customFormat="1" ht="30" customHeight="1" x14ac:dyDescent="0.5">
      <c r="B53" s="135">
        <v>43590</v>
      </c>
      <c r="C53" s="136" t="s">
        <v>138</v>
      </c>
      <c r="D53" s="137">
        <v>43590</v>
      </c>
      <c r="E53" s="151" t="s">
        <v>142</v>
      </c>
      <c r="F53" s="140" t="s">
        <v>51</v>
      </c>
      <c r="G53" s="140">
        <v>0</v>
      </c>
      <c r="H53" s="140">
        <v>482</v>
      </c>
      <c r="I53" s="140">
        <v>127</v>
      </c>
      <c r="J53" s="140">
        <f t="shared" si="4"/>
        <v>355</v>
      </c>
      <c r="K53" s="141">
        <v>11.833</v>
      </c>
      <c r="L53" s="141">
        <f t="shared" si="5"/>
        <v>4200.7150000000001</v>
      </c>
      <c r="M53" s="141">
        <f t="shared" si="6"/>
        <v>756.12869999999998</v>
      </c>
      <c r="N53" s="141">
        <f t="shared" si="7"/>
        <v>4956.8437000000004</v>
      </c>
    </row>
    <row r="54" spans="1:14" ht="39.75" customHeight="1" x14ac:dyDescent="0.5">
      <c r="B54" s="121">
        <v>43591</v>
      </c>
      <c r="C54" s="122" t="s">
        <v>143</v>
      </c>
      <c r="D54" s="115">
        <v>43591</v>
      </c>
      <c r="E54" s="116" t="s">
        <v>145</v>
      </c>
      <c r="F54" s="111" t="s">
        <v>11</v>
      </c>
      <c r="G54" s="111">
        <v>0</v>
      </c>
      <c r="H54" s="111">
        <v>500</v>
      </c>
      <c r="I54" s="111">
        <v>500</v>
      </c>
      <c r="J54" s="111">
        <f t="shared" si="4"/>
        <v>0</v>
      </c>
      <c r="K54" s="117">
        <v>9.8000000000000007</v>
      </c>
      <c r="L54" s="117">
        <f t="shared" si="5"/>
        <v>0</v>
      </c>
      <c r="M54" s="117">
        <f t="shared" si="6"/>
        <v>0</v>
      </c>
      <c r="N54" s="117">
        <f t="shared" si="7"/>
        <v>0</v>
      </c>
    </row>
    <row r="55" spans="1:14" s="90" customFormat="1" ht="40.5" customHeight="1" x14ac:dyDescent="0.5">
      <c r="B55" s="135">
        <v>43592</v>
      </c>
      <c r="C55" s="136" t="s">
        <v>144</v>
      </c>
      <c r="D55" s="137">
        <v>43592</v>
      </c>
      <c r="E55" s="151" t="s">
        <v>146</v>
      </c>
      <c r="F55" s="140" t="s">
        <v>51</v>
      </c>
      <c r="G55" s="140">
        <v>167</v>
      </c>
      <c r="H55" s="140">
        <v>204</v>
      </c>
      <c r="I55" s="140">
        <f>143+2</f>
        <v>145</v>
      </c>
      <c r="J55" s="140">
        <f t="shared" si="4"/>
        <v>59</v>
      </c>
      <c r="K55" s="141">
        <v>31.666</v>
      </c>
      <c r="L55" s="141">
        <f t="shared" si="5"/>
        <v>1868.2940000000001</v>
      </c>
      <c r="M55" s="141">
        <f t="shared" si="6"/>
        <v>336.29291999999998</v>
      </c>
      <c r="N55" s="141">
        <f t="shared" si="7"/>
        <v>2204.5869200000002</v>
      </c>
    </row>
    <row r="56" spans="1:14" ht="28.5" customHeight="1" x14ac:dyDescent="0.5">
      <c r="B56" s="121">
        <v>43593</v>
      </c>
      <c r="C56" s="122" t="s">
        <v>147</v>
      </c>
      <c r="D56" s="115">
        <v>43593</v>
      </c>
      <c r="E56" s="146" t="s">
        <v>150</v>
      </c>
      <c r="F56" s="105" t="s">
        <v>51</v>
      </c>
      <c r="G56" s="105">
        <v>8</v>
      </c>
      <c r="H56" s="105">
        <v>60</v>
      </c>
      <c r="I56" s="105">
        <v>20</v>
      </c>
      <c r="J56" s="111">
        <f t="shared" si="4"/>
        <v>40</v>
      </c>
      <c r="K56" s="117">
        <v>4</v>
      </c>
      <c r="L56" s="106">
        <f t="shared" si="5"/>
        <v>160</v>
      </c>
      <c r="M56" s="117">
        <f t="shared" si="6"/>
        <v>28.799999999999997</v>
      </c>
      <c r="N56" s="106">
        <f t="shared" si="7"/>
        <v>188.8</v>
      </c>
    </row>
    <row r="57" spans="1:14" x14ac:dyDescent="0.5">
      <c r="B57" s="223">
        <v>43594</v>
      </c>
      <c r="C57" s="224" t="s">
        <v>148</v>
      </c>
      <c r="D57" s="225">
        <v>43594</v>
      </c>
      <c r="E57" s="239" t="s">
        <v>151</v>
      </c>
      <c r="F57" s="240" t="s">
        <v>51</v>
      </c>
      <c r="G57" s="240">
        <v>8</v>
      </c>
      <c r="H57" s="240">
        <v>10</v>
      </c>
      <c r="I57" s="240">
        <v>10</v>
      </c>
      <c r="J57" s="188">
        <f t="shared" si="4"/>
        <v>0</v>
      </c>
      <c r="K57" s="189">
        <v>250</v>
      </c>
      <c r="L57" s="170">
        <f t="shared" si="5"/>
        <v>0</v>
      </c>
      <c r="M57" s="189">
        <f t="shared" si="6"/>
        <v>0</v>
      </c>
      <c r="N57" s="170">
        <f t="shared" si="7"/>
        <v>0</v>
      </c>
    </row>
    <row r="58" spans="1:14" ht="30.75" customHeight="1" x14ac:dyDescent="0.5">
      <c r="B58" s="121">
        <v>43595</v>
      </c>
      <c r="C58" s="122" t="s">
        <v>149</v>
      </c>
      <c r="D58" s="115">
        <v>43595</v>
      </c>
      <c r="E58" s="104" t="s">
        <v>268</v>
      </c>
      <c r="F58" s="105" t="s">
        <v>51</v>
      </c>
      <c r="G58" s="105">
        <v>12</v>
      </c>
      <c r="H58" s="105">
        <v>17</v>
      </c>
      <c r="I58" s="105">
        <v>16</v>
      </c>
      <c r="J58" s="111">
        <f t="shared" si="4"/>
        <v>1</v>
      </c>
      <c r="K58" s="117">
        <v>364</v>
      </c>
      <c r="L58" s="106">
        <f t="shared" si="5"/>
        <v>364</v>
      </c>
      <c r="M58" s="117">
        <f t="shared" si="6"/>
        <v>65.52</v>
      </c>
      <c r="N58" s="106">
        <f t="shared" si="7"/>
        <v>429.52</v>
      </c>
    </row>
    <row r="59" spans="1:14" x14ac:dyDescent="0.5">
      <c r="B59" s="121">
        <v>42958</v>
      </c>
      <c r="C59" s="122" t="s">
        <v>40</v>
      </c>
      <c r="D59" s="115">
        <v>42958</v>
      </c>
      <c r="E59" s="116" t="s">
        <v>10</v>
      </c>
      <c r="F59" s="111" t="s">
        <v>11</v>
      </c>
      <c r="G59" s="111">
        <v>1</v>
      </c>
      <c r="H59" s="111">
        <v>4</v>
      </c>
      <c r="I59" s="111">
        <v>3</v>
      </c>
      <c r="J59" s="111">
        <f t="shared" si="4"/>
        <v>1</v>
      </c>
      <c r="K59" s="117">
        <v>1015</v>
      </c>
      <c r="L59" s="117">
        <f t="shared" si="5"/>
        <v>1015</v>
      </c>
      <c r="M59" s="117">
        <f t="shared" si="6"/>
        <v>182.7</v>
      </c>
      <c r="N59" s="117">
        <f t="shared" si="7"/>
        <v>1197.7</v>
      </c>
    </row>
    <row r="60" spans="1:14" x14ac:dyDescent="0.5">
      <c r="B60" s="121">
        <v>44788</v>
      </c>
      <c r="C60" s="122" t="s">
        <v>383</v>
      </c>
      <c r="D60" s="115">
        <v>44788</v>
      </c>
      <c r="E60" s="116" t="s">
        <v>384</v>
      </c>
      <c r="F60" s="111" t="s">
        <v>51</v>
      </c>
      <c r="G60" s="111"/>
      <c r="H60" s="111">
        <v>180</v>
      </c>
      <c r="I60" s="111">
        <f>40+2+1+1</f>
        <v>44</v>
      </c>
      <c r="J60" s="111">
        <f>H60-I60</f>
        <v>136</v>
      </c>
      <c r="K60" s="117">
        <v>17</v>
      </c>
      <c r="L60" s="117">
        <f t="shared" si="5"/>
        <v>2312</v>
      </c>
      <c r="M60" s="117">
        <f t="shared" si="6"/>
        <v>416.15999999999997</v>
      </c>
      <c r="N60" s="117">
        <f t="shared" si="7"/>
        <v>2728.16</v>
      </c>
    </row>
    <row r="61" spans="1:14" ht="27.75" customHeight="1" x14ac:dyDescent="0.5">
      <c r="B61" s="223">
        <v>44007</v>
      </c>
      <c r="C61" s="224" t="s">
        <v>41</v>
      </c>
      <c r="D61" s="225">
        <v>44007</v>
      </c>
      <c r="E61" s="226" t="s">
        <v>12</v>
      </c>
      <c r="F61" s="188" t="s">
        <v>11</v>
      </c>
      <c r="G61" s="188">
        <v>6</v>
      </c>
      <c r="H61" s="188">
        <v>7</v>
      </c>
      <c r="I61" s="188">
        <v>7</v>
      </c>
      <c r="J61" s="188">
        <f t="shared" si="4"/>
        <v>0</v>
      </c>
      <c r="K61" s="189">
        <v>158.47</v>
      </c>
      <c r="L61" s="189">
        <f t="shared" si="5"/>
        <v>0</v>
      </c>
      <c r="M61" s="189">
        <f t="shared" si="6"/>
        <v>0</v>
      </c>
      <c r="N61" s="189">
        <f t="shared" si="7"/>
        <v>0</v>
      </c>
    </row>
    <row r="62" spans="1:14" ht="30" customHeight="1" x14ac:dyDescent="0.5">
      <c r="B62" s="121">
        <v>42958</v>
      </c>
      <c r="C62" s="122" t="s">
        <v>43</v>
      </c>
      <c r="D62" s="115">
        <v>42958</v>
      </c>
      <c r="E62" s="116" t="s">
        <v>17</v>
      </c>
      <c r="F62" s="111" t="s">
        <v>51</v>
      </c>
      <c r="G62" s="111">
        <v>0</v>
      </c>
      <c r="H62" s="111">
        <v>2</v>
      </c>
      <c r="I62" s="111">
        <v>2</v>
      </c>
      <c r="J62" s="111">
        <f t="shared" si="4"/>
        <v>0</v>
      </c>
      <c r="K62" s="117">
        <v>6395</v>
      </c>
      <c r="L62" s="117">
        <f t="shared" si="5"/>
        <v>0</v>
      </c>
      <c r="M62" s="117">
        <f t="shared" si="6"/>
        <v>0</v>
      </c>
      <c r="N62" s="117">
        <f t="shared" si="7"/>
        <v>0</v>
      </c>
    </row>
    <row r="63" spans="1:14" ht="29.25" customHeight="1" x14ac:dyDescent="0.5">
      <c r="A63" s="77" t="s">
        <v>258</v>
      </c>
      <c r="B63" s="121">
        <v>42958</v>
      </c>
      <c r="C63" s="122" t="s">
        <v>44</v>
      </c>
      <c r="D63" s="115">
        <v>42958</v>
      </c>
      <c r="E63" s="116" t="s">
        <v>18</v>
      </c>
      <c r="F63" s="111" t="s">
        <v>51</v>
      </c>
      <c r="G63" s="111">
        <v>2</v>
      </c>
      <c r="H63" s="111">
        <v>12</v>
      </c>
      <c r="I63" s="111">
        <v>12</v>
      </c>
      <c r="J63" s="111">
        <f t="shared" si="4"/>
        <v>0</v>
      </c>
      <c r="K63" s="117">
        <v>390</v>
      </c>
      <c r="L63" s="117">
        <f t="shared" si="5"/>
        <v>0</v>
      </c>
      <c r="M63" s="117">
        <f t="shared" si="6"/>
        <v>0</v>
      </c>
      <c r="N63" s="117">
        <f t="shared" si="7"/>
        <v>0</v>
      </c>
    </row>
    <row r="64" spans="1:14" ht="30.75" customHeight="1" x14ac:dyDescent="0.5">
      <c r="B64" s="135">
        <v>43418</v>
      </c>
      <c r="C64" s="136" t="s">
        <v>112</v>
      </c>
      <c r="D64" s="137">
        <v>43418</v>
      </c>
      <c r="E64" s="151" t="s">
        <v>257</v>
      </c>
      <c r="F64" s="140" t="s">
        <v>51</v>
      </c>
      <c r="G64" s="140">
        <v>7</v>
      </c>
      <c r="H64" s="140">
        <v>12</v>
      </c>
      <c r="I64" s="140">
        <v>12</v>
      </c>
      <c r="J64" s="139">
        <f t="shared" si="4"/>
        <v>0</v>
      </c>
      <c r="K64" s="141">
        <v>151</v>
      </c>
      <c r="L64" s="141">
        <f t="shared" si="5"/>
        <v>0</v>
      </c>
      <c r="M64" s="142">
        <f t="shared" si="6"/>
        <v>0</v>
      </c>
      <c r="N64" s="142">
        <f t="shared" si="7"/>
        <v>0</v>
      </c>
    </row>
    <row r="65" spans="2:20" s="90" customFormat="1" ht="31.5" customHeight="1" x14ac:dyDescent="0.5">
      <c r="B65" s="135">
        <v>43418</v>
      </c>
      <c r="C65" s="136" t="s">
        <v>112</v>
      </c>
      <c r="D65" s="137">
        <v>43418</v>
      </c>
      <c r="E65" s="151" t="s">
        <v>113</v>
      </c>
      <c r="F65" s="140" t="s">
        <v>51</v>
      </c>
      <c r="G65" s="140">
        <v>0</v>
      </c>
      <c r="H65" s="140">
        <v>12</v>
      </c>
      <c r="I65" s="140">
        <v>12</v>
      </c>
      <c r="J65" s="139">
        <f t="shared" si="4"/>
        <v>0</v>
      </c>
      <c r="K65" s="141">
        <v>151</v>
      </c>
      <c r="L65" s="141">
        <f t="shared" si="5"/>
        <v>0</v>
      </c>
      <c r="M65" s="142">
        <f t="shared" si="6"/>
        <v>0</v>
      </c>
      <c r="N65" s="142">
        <f t="shared" si="7"/>
        <v>0</v>
      </c>
    </row>
    <row r="66" spans="2:20" x14ac:dyDescent="0.5">
      <c r="B66" s="121">
        <v>42958</v>
      </c>
      <c r="C66" s="122" t="s">
        <v>45</v>
      </c>
      <c r="D66" s="115">
        <v>42958</v>
      </c>
      <c r="E66" s="116" t="s">
        <v>19</v>
      </c>
      <c r="F66" s="111" t="s">
        <v>51</v>
      </c>
      <c r="G66" s="111">
        <v>5</v>
      </c>
      <c r="H66" s="111">
        <v>25</v>
      </c>
      <c r="I66" s="111">
        <v>12</v>
      </c>
      <c r="J66" s="105">
        <f t="shared" si="4"/>
        <v>13</v>
      </c>
      <c r="K66" s="117">
        <v>33</v>
      </c>
      <c r="L66" s="117">
        <f t="shared" si="5"/>
        <v>429</v>
      </c>
      <c r="M66" s="106">
        <f t="shared" si="6"/>
        <v>77.22</v>
      </c>
      <c r="N66" s="117">
        <f t="shared" si="7"/>
        <v>506.22</v>
      </c>
    </row>
    <row r="67" spans="2:20" s="90" customFormat="1" ht="35.25" customHeight="1" x14ac:dyDescent="0.5">
      <c r="B67" s="135">
        <v>43011</v>
      </c>
      <c r="C67" s="136" t="s">
        <v>179</v>
      </c>
      <c r="D67" s="137">
        <v>43011</v>
      </c>
      <c r="E67" s="263" t="s">
        <v>182</v>
      </c>
      <c r="F67" s="140" t="s">
        <v>51</v>
      </c>
      <c r="G67" s="262">
        <v>1</v>
      </c>
      <c r="H67" s="262">
        <v>4</v>
      </c>
      <c r="I67" s="262">
        <v>5</v>
      </c>
      <c r="J67" s="140">
        <v>1</v>
      </c>
      <c r="K67" s="264">
        <v>350</v>
      </c>
      <c r="L67" s="141">
        <f t="shared" si="5"/>
        <v>350</v>
      </c>
      <c r="M67" s="141">
        <f t="shared" si="6"/>
        <v>63</v>
      </c>
      <c r="N67" s="141">
        <f t="shared" si="7"/>
        <v>413</v>
      </c>
    </row>
    <row r="68" spans="2:20" ht="35.25" customHeight="1" x14ac:dyDescent="0.5">
      <c r="B68" s="121">
        <v>44007</v>
      </c>
      <c r="C68" s="122" t="s">
        <v>213</v>
      </c>
      <c r="D68" s="115">
        <v>44007</v>
      </c>
      <c r="E68" s="108" t="s">
        <v>400</v>
      </c>
      <c r="F68" s="111" t="s">
        <v>9</v>
      </c>
      <c r="G68" s="109">
        <v>2</v>
      </c>
      <c r="H68" s="109">
        <v>2</v>
      </c>
      <c r="I68" s="109">
        <v>0</v>
      </c>
      <c r="J68" s="111">
        <v>1</v>
      </c>
      <c r="K68" s="118">
        <v>99.59</v>
      </c>
      <c r="L68" s="117">
        <f t="shared" si="5"/>
        <v>99.59</v>
      </c>
      <c r="M68" s="117">
        <f t="shared" si="6"/>
        <v>17.926200000000001</v>
      </c>
      <c r="N68" s="117">
        <f t="shared" si="7"/>
        <v>117.5162</v>
      </c>
    </row>
    <row r="69" spans="2:20" s="93" customFormat="1" x14ac:dyDescent="0.5">
      <c r="B69" s="143">
        <v>44007</v>
      </c>
      <c r="C69" s="144" t="s">
        <v>213</v>
      </c>
      <c r="D69" s="145">
        <f>D67</f>
        <v>43011</v>
      </c>
      <c r="E69" s="227" t="s">
        <v>245</v>
      </c>
      <c r="F69" s="148" t="s">
        <v>51</v>
      </c>
      <c r="G69" s="228">
        <v>6</v>
      </c>
      <c r="H69" s="228">
        <v>8</v>
      </c>
      <c r="I69" s="228">
        <v>8</v>
      </c>
      <c r="J69" s="148">
        <f t="shared" si="4"/>
        <v>0</v>
      </c>
      <c r="K69" s="161">
        <v>45</v>
      </c>
      <c r="L69" s="149">
        <f t="shared" si="5"/>
        <v>0</v>
      </c>
      <c r="M69" s="149">
        <f t="shared" si="6"/>
        <v>0</v>
      </c>
      <c r="N69" s="149">
        <f t="shared" si="7"/>
        <v>0</v>
      </c>
    </row>
    <row r="70" spans="2:20" s="90" customFormat="1" x14ac:dyDescent="0.5">
      <c r="B70" s="152">
        <f>B68</f>
        <v>44007</v>
      </c>
      <c r="C70" s="153" t="s">
        <v>213</v>
      </c>
      <c r="D70" s="154">
        <f>D68</f>
        <v>44007</v>
      </c>
      <c r="E70" s="155" t="s">
        <v>240</v>
      </c>
      <c r="F70" s="156" t="str">
        <f>F67</f>
        <v>UNID.</v>
      </c>
      <c r="G70" s="157">
        <v>13</v>
      </c>
      <c r="H70" s="157">
        <v>17</v>
      </c>
      <c r="I70" s="157">
        <v>7</v>
      </c>
      <c r="J70" s="156">
        <f t="shared" si="4"/>
        <v>10</v>
      </c>
      <c r="K70" s="158">
        <v>65</v>
      </c>
      <c r="L70" s="159">
        <f t="shared" si="5"/>
        <v>650</v>
      </c>
      <c r="M70" s="159">
        <f t="shared" si="6"/>
        <v>117</v>
      </c>
      <c r="N70" s="159">
        <f t="shared" si="7"/>
        <v>767</v>
      </c>
      <c r="R70" s="92"/>
      <c r="S70" s="92"/>
      <c r="T70" s="92"/>
    </row>
    <row r="71" spans="2:20" s="93" customFormat="1" ht="35.25" customHeight="1" x14ac:dyDescent="0.5">
      <c r="B71" s="143">
        <f t="shared" ref="B71:B78" si="20">B70</f>
        <v>44007</v>
      </c>
      <c r="C71" s="144" t="s">
        <v>213</v>
      </c>
      <c r="D71" s="145">
        <f t="shared" ref="D71:D78" si="21">D70</f>
        <v>44007</v>
      </c>
      <c r="E71" s="227" t="s">
        <v>241</v>
      </c>
      <c r="F71" s="148" t="str">
        <f>F70</f>
        <v>UNID.</v>
      </c>
      <c r="G71" s="228">
        <v>57</v>
      </c>
      <c r="H71" s="228">
        <v>67</v>
      </c>
      <c r="I71" s="228">
        <v>34</v>
      </c>
      <c r="J71" s="148">
        <f t="shared" si="4"/>
        <v>33</v>
      </c>
      <c r="K71" s="161">
        <v>29</v>
      </c>
      <c r="L71" s="149">
        <f t="shared" si="5"/>
        <v>957</v>
      </c>
      <c r="M71" s="149">
        <f t="shared" si="6"/>
        <v>172.26</v>
      </c>
      <c r="N71" s="149">
        <f t="shared" si="7"/>
        <v>1129.26</v>
      </c>
      <c r="R71" s="229"/>
      <c r="S71" s="229"/>
      <c r="T71" s="229"/>
    </row>
    <row r="72" spans="2:20" s="93" customFormat="1" ht="42" customHeight="1" x14ac:dyDescent="0.5">
      <c r="B72" s="121">
        <v>44788</v>
      </c>
      <c r="C72" s="122" t="s">
        <v>348</v>
      </c>
      <c r="D72" s="115">
        <v>44788</v>
      </c>
      <c r="E72" s="116" t="s">
        <v>390</v>
      </c>
      <c r="F72" s="111" t="s">
        <v>11</v>
      </c>
      <c r="G72" s="111">
        <v>4</v>
      </c>
      <c r="H72" s="111">
        <v>4</v>
      </c>
      <c r="I72" s="111">
        <v>1</v>
      </c>
      <c r="J72" s="111">
        <f t="shared" ref="J72" si="22">H72-I72</f>
        <v>3</v>
      </c>
      <c r="K72" s="117">
        <v>447.27</v>
      </c>
      <c r="L72" s="117">
        <f t="shared" ref="L72" si="23">J72*K72</f>
        <v>1341.81</v>
      </c>
      <c r="M72" s="117">
        <f t="shared" ref="M72" si="24">L72*18%</f>
        <v>241.52579999999998</v>
      </c>
      <c r="N72" s="117">
        <f t="shared" ref="N72" si="25">L72+M72</f>
        <v>1583.3357999999998</v>
      </c>
      <c r="R72" s="229"/>
      <c r="S72" s="229"/>
      <c r="T72" s="229"/>
    </row>
    <row r="73" spans="2:20" s="90" customFormat="1" x14ac:dyDescent="0.5">
      <c r="B73" s="152">
        <f>B71</f>
        <v>44007</v>
      </c>
      <c r="C73" s="153" t="s">
        <v>213</v>
      </c>
      <c r="D73" s="154">
        <f>D71</f>
        <v>44007</v>
      </c>
      <c r="E73" s="155" t="s">
        <v>242</v>
      </c>
      <c r="F73" s="156" t="str">
        <f>F71</f>
        <v>UNID.</v>
      </c>
      <c r="G73" s="157">
        <v>6</v>
      </c>
      <c r="H73" s="157">
        <v>7</v>
      </c>
      <c r="I73" s="157">
        <v>8</v>
      </c>
      <c r="J73" s="156">
        <v>4</v>
      </c>
      <c r="K73" s="158">
        <v>125</v>
      </c>
      <c r="L73" s="159">
        <f t="shared" si="5"/>
        <v>500</v>
      </c>
      <c r="M73" s="159">
        <f t="shared" si="6"/>
        <v>90</v>
      </c>
      <c r="N73" s="159">
        <f t="shared" si="7"/>
        <v>590</v>
      </c>
      <c r="R73" s="92"/>
      <c r="S73" s="92"/>
      <c r="T73" s="92"/>
    </row>
    <row r="74" spans="2:20" ht="39" customHeight="1" x14ac:dyDescent="0.5">
      <c r="B74" s="223">
        <v>44788</v>
      </c>
      <c r="C74" s="224" t="s">
        <v>348</v>
      </c>
      <c r="D74" s="225">
        <v>44788</v>
      </c>
      <c r="E74" s="247" t="s">
        <v>388</v>
      </c>
      <c r="F74" s="188" t="s">
        <v>11</v>
      </c>
      <c r="G74" s="248">
        <v>0</v>
      </c>
      <c r="H74" s="248">
        <v>150</v>
      </c>
      <c r="I74" s="248">
        <f>27+1</f>
        <v>28</v>
      </c>
      <c r="J74" s="188">
        <f t="shared" si="4"/>
        <v>122</v>
      </c>
      <c r="K74" s="249">
        <v>525.41999999999996</v>
      </c>
      <c r="L74" s="189">
        <f t="shared" ref="L74" si="26">J74*K74</f>
        <v>64101.24</v>
      </c>
      <c r="M74" s="189">
        <f t="shared" ref="M74" si="27">L74*18%</f>
        <v>11538.223199999999</v>
      </c>
      <c r="N74" s="189">
        <f t="shared" ref="N74" si="28">L74+M74</f>
        <v>75639.463199999998</v>
      </c>
      <c r="R74" s="229"/>
      <c r="S74" s="229"/>
      <c r="T74" s="229"/>
    </row>
    <row r="75" spans="2:20" x14ac:dyDescent="0.5">
      <c r="B75" s="223">
        <f>B73</f>
        <v>44007</v>
      </c>
      <c r="C75" s="224" t="s">
        <v>213</v>
      </c>
      <c r="D75" s="225">
        <f>D73</f>
        <v>44007</v>
      </c>
      <c r="E75" s="247" t="s">
        <v>252</v>
      </c>
      <c r="F75" s="188" t="s">
        <v>51</v>
      </c>
      <c r="G75" s="248">
        <v>337</v>
      </c>
      <c r="H75" s="248">
        <f>350+400</f>
        <v>750</v>
      </c>
      <c r="I75" s="248">
        <v>10</v>
      </c>
      <c r="J75" s="188">
        <f t="shared" si="4"/>
        <v>740</v>
      </c>
      <c r="K75" s="249">
        <v>10</v>
      </c>
      <c r="L75" s="189">
        <f t="shared" si="5"/>
        <v>7400</v>
      </c>
      <c r="M75" s="189">
        <f t="shared" si="6"/>
        <v>1332</v>
      </c>
      <c r="N75" s="189">
        <f t="shared" si="7"/>
        <v>8732</v>
      </c>
      <c r="R75" s="229"/>
      <c r="S75" s="229"/>
      <c r="T75" s="229"/>
    </row>
    <row r="76" spans="2:20" x14ac:dyDescent="0.5">
      <c r="B76" s="223">
        <f>B74</f>
        <v>44788</v>
      </c>
      <c r="C76" s="224" t="s">
        <v>419</v>
      </c>
      <c r="D76" s="225">
        <f>D74</f>
        <v>44788</v>
      </c>
      <c r="E76" s="247" t="s">
        <v>252</v>
      </c>
      <c r="F76" s="188" t="s">
        <v>51</v>
      </c>
      <c r="G76" s="248">
        <v>338</v>
      </c>
      <c r="H76" s="248">
        <f>350+400</f>
        <v>750</v>
      </c>
      <c r="I76" s="248">
        <v>11</v>
      </c>
      <c r="J76" s="188">
        <f t="shared" ref="J76" si="29">H76-I76</f>
        <v>739</v>
      </c>
      <c r="K76" s="249">
        <v>11</v>
      </c>
      <c r="L76" s="189">
        <f t="shared" ref="L76" si="30">J76*K76</f>
        <v>8129</v>
      </c>
      <c r="M76" s="189">
        <f t="shared" ref="M76" si="31">L76*18%</f>
        <v>1463.22</v>
      </c>
      <c r="N76" s="189">
        <f t="shared" ref="N76" si="32">L76+M76</f>
        <v>9592.2199999999993</v>
      </c>
      <c r="R76" s="229"/>
      <c r="S76" s="229"/>
      <c r="T76" s="229"/>
    </row>
    <row r="77" spans="2:20" x14ac:dyDescent="0.5">
      <c r="B77" s="223">
        <f t="shared" si="20"/>
        <v>44788</v>
      </c>
      <c r="C77" s="224" t="s">
        <v>213</v>
      </c>
      <c r="D77" s="225">
        <f t="shared" si="21"/>
        <v>44788</v>
      </c>
      <c r="E77" s="247" t="s">
        <v>253</v>
      </c>
      <c r="F77" s="188" t="s">
        <v>51</v>
      </c>
      <c r="G77" s="248">
        <v>98</v>
      </c>
      <c r="H77" s="248">
        <v>100</v>
      </c>
      <c r="I77" s="248">
        <v>6</v>
      </c>
      <c r="J77" s="188">
        <f t="shared" si="4"/>
        <v>94</v>
      </c>
      <c r="K77" s="249">
        <v>10</v>
      </c>
      <c r="L77" s="189">
        <f t="shared" ref="L77:L103" si="33">J77*K77</f>
        <v>940</v>
      </c>
      <c r="M77" s="189">
        <f t="shared" si="6"/>
        <v>169.2</v>
      </c>
      <c r="N77" s="189">
        <f t="shared" si="7"/>
        <v>1109.2</v>
      </c>
      <c r="R77" s="229"/>
      <c r="S77" s="229"/>
      <c r="T77" s="229"/>
    </row>
    <row r="78" spans="2:20" s="90" customFormat="1" x14ac:dyDescent="0.5">
      <c r="B78" s="152">
        <f t="shared" si="20"/>
        <v>44788</v>
      </c>
      <c r="C78" s="153" t="s">
        <v>213</v>
      </c>
      <c r="D78" s="154">
        <f t="shared" si="21"/>
        <v>44788</v>
      </c>
      <c r="E78" s="155" t="s">
        <v>249</v>
      </c>
      <c r="F78" s="156" t="str">
        <f>F73</f>
        <v>UNID.</v>
      </c>
      <c r="G78" s="157">
        <v>2</v>
      </c>
      <c r="H78" s="157">
        <v>2</v>
      </c>
      <c r="I78" s="157">
        <v>0</v>
      </c>
      <c r="J78" s="156">
        <f t="shared" si="4"/>
        <v>2</v>
      </c>
      <c r="K78" s="158">
        <v>450</v>
      </c>
      <c r="L78" s="159">
        <f t="shared" si="33"/>
        <v>900</v>
      </c>
      <c r="M78" s="159">
        <f t="shared" si="6"/>
        <v>162</v>
      </c>
      <c r="N78" s="159">
        <f t="shared" si="7"/>
        <v>1062</v>
      </c>
      <c r="R78" s="92"/>
      <c r="S78" s="92"/>
      <c r="T78" s="92"/>
    </row>
    <row r="79" spans="2:20" s="90" customFormat="1" ht="33" customHeight="1" x14ac:dyDescent="0.5">
      <c r="B79" s="135">
        <f>B71</f>
        <v>44007</v>
      </c>
      <c r="C79" s="136" t="s">
        <v>213</v>
      </c>
      <c r="D79" s="137">
        <v>44007</v>
      </c>
      <c r="E79" s="263" t="s">
        <v>409</v>
      </c>
      <c r="F79" s="140" t="s">
        <v>51</v>
      </c>
      <c r="G79" s="262">
        <v>7</v>
      </c>
      <c r="H79" s="262">
        <v>60</v>
      </c>
      <c r="I79" s="262">
        <v>18</v>
      </c>
      <c r="J79" s="140">
        <f t="shared" si="4"/>
        <v>42</v>
      </c>
      <c r="K79" s="264">
        <v>15</v>
      </c>
      <c r="L79" s="141">
        <f t="shared" si="33"/>
        <v>630</v>
      </c>
      <c r="M79" s="141">
        <f t="shared" si="6"/>
        <v>113.39999999999999</v>
      </c>
      <c r="N79" s="141">
        <f t="shared" si="7"/>
        <v>743.4</v>
      </c>
      <c r="R79" s="92"/>
      <c r="S79" s="92"/>
      <c r="T79" s="92"/>
    </row>
    <row r="80" spans="2:20" x14ac:dyDescent="0.5">
      <c r="B80" s="121">
        <v>43012</v>
      </c>
      <c r="C80" s="122" t="s">
        <v>188</v>
      </c>
      <c r="D80" s="115">
        <v>43012</v>
      </c>
      <c r="E80" s="108" t="s">
        <v>190</v>
      </c>
      <c r="F80" s="111" t="s">
        <v>51</v>
      </c>
      <c r="G80" s="109">
        <v>9</v>
      </c>
      <c r="H80" s="109">
        <v>11</v>
      </c>
      <c r="I80" s="109">
        <v>6</v>
      </c>
      <c r="J80" s="111">
        <f t="shared" si="4"/>
        <v>5</v>
      </c>
      <c r="K80" s="118">
        <v>45</v>
      </c>
      <c r="L80" s="117">
        <f t="shared" si="33"/>
        <v>225</v>
      </c>
      <c r="M80" s="117">
        <f t="shared" si="6"/>
        <v>40.5</v>
      </c>
      <c r="N80" s="117">
        <f t="shared" si="7"/>
        <v>265.5</v>
      </c>
    </row>
    <row r="81" spans="2:14" x14ac:dyDescent="0.5">
      <c r="B81" s="121">
        <v>43013</v>
      </c>
      <c r="C81" s="122" t="s">
        <v>189</v>
      </c>
      <c r="D81" s="115">
        <v>43013</v>
      </c>
      <c r="E81" s="108" t="s">
        <v>191</v>
      </c>
      <c r="F81" s="111" t="s">
        <v>51</v>
      </c>
      <c r="G81" s="109">
        <v>6</v>
      </c>
      <c r="H81" s="109">
        <v>12</v>
      </c>
      <c r="I81" s="109">
        <v>11</v>
      </c>
      <c r="J81" s="111">
        <f t="shared" si="4"/>
        <v>1</v>
      </c>
      <c r="K81" s="118">
        <v>225</v>
      </c>
      <c r="L81" s="117">
        <f t="shared" si="33"/>
        <v>225</v>
      </c>
      <c r="M81" s="117">
        <f t="shared" si="6"/>
        <v>40.5</v>
      </c>
      <c r="N81" s="117">
        <f t="shared" si="7"/>
        <v>265.5</v>
      </c>
    </row>
    <row r="82" spans="2:14" x14ac:dyDescent="0.5">
      <c r="B82" s="121">
        <v>43011</v>
      </c>
      <c r="C82" s="122" t="s">
        <v>178</v>
      </c>
      <c r="D82" s="115">
        <v>43011</v>
      </c>
      <c r="E82" s="108" t="s">
        <v>180</v>
      </c>
      <c r="F82" s="111" t="s">
        <v>51</v>
      </c>
      <c r="G82" s="109">
        <v>2</v>
      </c>
      <c r="H82" s="109">
        <v>11</v>
      </c>
      <c r="I82" s="109">
        <v>0</v>
      </c>
      <c r="J82" s="111">
        <f t="shared" si="4"/>
        <v>11</v>
      </c>
      <c r="K82" s="118">
        <v>260</v>
      </c>
      <c r="L82" s="117">
        <f t="shared" si="33"/>
        <v>2860</v>
      </c>
      <c r="M82" s="117">
        <f t="shared" si="6"/>
        <v>514.79999999999995</v>
      </c>
      <c r="N82" s="117">
        <f t="shared" si="7"/>
        <v>3374.8</v>
      </c>
    </row>
    <row r="83" spans="2:14" s="238" customFormat="1" ht="15.75" hidden="1" customHeight="1" x14ac:dyDescent="0.5">
      <c r="B83" s="230">
        <v>43011</v>
      </c>
      <c r="C83" s="231" t="s">
        <v>183</v>
      </c>
      <c r="D83" s="232">
        <v>43012</v>
      </c>
      <c r="E83" s="233" t="s">
        <v>184</v>
      </c>
      <c r="F83" s="234" t="s">
        <v>51</v>
      </c>
      <c r="G83" s="235">
        <v>10</v>
      </c>
      <c r="H83" s="235">
        <v>24</v>
      </c>
      <c r="I83" s="235">
        <v>17</v>
      </c>
      <c r="J83" s="234">
        <f t="shared" si="4"/>
        <v>7</v>
      </c>
      <c r="K83" s="236">
        <v>55</v>
      </c>
      <c r="L83" s="237">
        <f t="shared" si="33"/>
        <v>385</v>
      </c>
      <c r="M83" s="237">
        <f t="shared" si="6"/>
        <v>69.3</v>
      </c>
      <c r="N83" s="237">
        <f t="shared" si="7"/>
        <v>454.3</v>
      </c>
    </row>
    <row r="84" spans="2:14" ht="36" customHeight="1" x14ac:dyDescent="0.5">
      <c r="B84" s="121">
        <v>44007</v>
      </c>
      <c r="C84" s="122" t="s">
        <v>212</v>
      </c>
      <c r="D84" s="115">
        <v>44007</v>
      </c>
      <c r="E84" s="108" t="s">
        <v>214</v>
      </c>
      <c r="F84" s="111" t="s">
        <v>51</v>
      </c>
      <c r="G84" s="109">
        <v>28</v>
      </c>
      <c r="H84" s="109">
        <v>72</v>
      </c>
      <c r="I84" s="109">
        <f>34+3+1</f>
        <v>38</v>
      </c>
      <c r="J84" s="111">
        <f t="shared" si="4"/>
        <v>34</v>
      </c>
      <c r="K84" s="118">
        <v>6.42</v>
      </c>
      <c r="L84" s="117">
        <f t="shared" si="33"/>
        <v>218.28</v>
      </c>
      <c r="M84" s="117">
        <f t="shared" si="6"/>
        <v>39.290399999999998</v>
      </c>
      <c r="N84" s="117">
        <f t="shared" si="7"/>
        <v>257.57040000000001</v>
      </c>
    </row>
    <row r="85" spans="2:14" ht="28.5" customHeight="1" x14ac:dyDescent="0.5">
      <c r="B85" s="121">
        <v>44007</v>
      </c>
      <c r="C85" s="122" t="s">
        <v>213</v>
      </c>
      <c r="D85" s="115">
        <v>44007</v>
      </c>
      <c r="E85" s="108" t="s">
        <v>220</v>
      </c>
      <c r="F85" s="111" t="s">
        <v>51</v>
      </c>
      <c r="G85" s="109">
        <v>36</v>
      </c>
      <c r="H85" s="109">
        <v>52</v>
      </c>
      <c r="I85" s="109">
        <v>25</v>
      </c>
      <c r="J85" s="111">
        <f t="shared" si="4"/>
        <v>27</v>
      </c>
      <c r="K85" s="118">
        <v>6.42</v>
      </c>
      <c r="L85" s="117">
        <f t="shared" si="33"/>
        <v>173.34</v>
      </c>
      <c r="M85" s="117">
        <f t="shared" si="6"/>
        <v>31.2012</v>
      </c>
      <c r="N85" s="117">
        <f t="shared" si="7"/>
        <v>204.5412</v>
      </c>
    </row>
    <row r="86" spans="2:14" ht="33" customHeight="1" x14ac:dyDescent="0.5">
      <c r="B86" s="121">
        <v>44007</v>
      </c>
      <c r="C86" s="122" t="s">
        <v>177</v>
      </c>
      <c r="D86" s="115">
        <v>44007</v>
      </c>
      <c r="E86" s="108" t="s">
        <v>211</v>
      </c>
      <c r="F86" s="111" t="s">
        <v>51</v>
      </c>
      <c r="G86" s="109">
        <v>52</v>
      </c>
      <c r="H86" s="109">
        <v>66</v>
      </c>
      <c r="I86" s="109">
        <v>43</v>
      </c>
      <c r="J86" s="111">
        <f t="shared" si="4"/>
        <v>23</v>
      </c>
      <c r="K86" s="118">
        <v>6.42</v>
      </c>
      <c r="L86" s="117">
        <f t="shared" si="33"/>
        <v>147.66</v>
      </c>
      <c r="M86" s="117">
        <f t="shared" si="6"/>
        <v>26.578799999999998</v>
      </c>
      <c r="N86" s="117">
        <f t="shared" si="7"/>
        <v>174.2388</v>
      </c>
    </row>
    <row r="87" spans="2:14" ht="33.75" customHeight="1" x14ac:dyDescent="0.5">
      <c r="B87" s="121">
        <v>43011</v>
      </c>
      <c r="C87" s="122" t="s">
        <v>189</v>
      </c>
      <c r="D87" s="115">
        <v>43011</v>
      </c>
      <c r="E87" s="108" t="s">
        <v>192</v>
      </c>
      <c r="F87" s="111" t="s">
        <v>9</v>
      </c>
      <c r="G87" s="109">
        <v>21</v>
      </c>
      <c r="H87" s="109">
        <v>21</v>
      </c>
      <c r="I87" s="109">
        <v>16</v>
      </c>
      <c r="J87" s="111">
        <f t="shared" si="4"/>
        <v>5</v>
      </c>
      <c r="K87" s="161">
        <v>0</v>
      </c>
      <c r="L87" s="117">
        <f t="shared" si="33"/>
        <v>0</v>
      </c>
      <c r="M87" s="117">
        <f t="shared" si="6"/>
        <v>0</v>
      </c>
      <c r="N87" s="117">
        <f t="shared" si="7"/>
        <v>0</v>
      </c>
    </row>
    <row r="88" spans="2:14" ht="35.25" customHeight="1" x14ac:dyDescent="0.5">
      <c r="B88" s="121" t="s">
        <v>152</v>
      </c>
      <c r="C88" s="122" t="s">
        <v>167</v>
      </c>
      <c r="D88" s="115" t="s">
        <v>152</v>
      </c>
      <c r="E88" s="108" t="s">
        <v>392</v>
      </c>
      <c r="F88" s="111" t="s">
        <v>51</v>
      </c>
      <c r="G88" s="109">
        <v>0</v>
      </c>
      <c r="H88" s="109">
        <v>1</v>
      </c>
      <c r="I88" s="109">
        <v>1</v>
      </c>
      <c r="J88" s="111">
        <f t="shared" si="4"/>
        <v>0</v>
      </c>
      <c r="K88" s="118">
        <v>224.38</v>
      </c>
      <c r="L88" s="117">
        <f t="shared" si="33"/>
        <v>0</v>
      </c>
      <c r="M88" s="117">
        <f t="shared" si="6"/>
        <v>0</v>
      </c>
      <c r="N88" s="117">
        <f t="shared" si="7"/>
        <v>0</v>
      </c>
    </row>
    <row r="89" spans="2:14" ht="35.25" customHeight="1" x14ac:dyDescent="0.5">
      <c r="B89" s="121" t="s">
        <v>152</v>
      </c>
      <c r="C89" s="122" t="s">
        <v>168</v>
      </c>
      <c r="D89" s="115" t="s">
        <v>152</v>
      </c>
      <c r="E89" s="108" t="s">
        <v>160</v>
      </c>
      <c r="F89" s="111" t="s">
        <v>51</v>
      </c>
      <c r="G89" s="109">
        <v>0</v>
      </c>
      <c r="H89" s="109">
        <v>2</v>
      </c>
      <c r="I89" s="109">
        <v>2</v>
      </c>
      <c r="J89" s="111">
        <f t="shared" si="4"/>
        <v>0</v>
      </c>
      <c r="K89" s="118">
        <v>212.35</v>
      </c>
      <c r="L89" s="117">
        <f t="shared" si="33"/>
        <v>0</v>
      </c>
      <c r="M89" s="117">
        <f t="shared" si="6"/>
        <v>0</v>
      </c>
      <c r="N89" s="117">
        <f t="shared" si="7"/>
        <v>0</v>
      </c>
    </row>
    <row r="90" spans="2:14" ht="36" customHeight="1" x14ac:dyDescent="0.5">
      <c r="B90" s="121">
        <v>43047</v>
      </c>
      <c r="C90" s="122" t="s">
        <v>71</v>
      </c>
      <c r="D90" s="115">
        <v>43047</v>
      </c>
      <c r="E90" s="116" t="s">
        <v>16</v>
      </c>
      <c r="F90" s="111" t="s">
        <v>51</v>
      </c>
      <c r="G90" s="111">
        <v>14</v>
      </c>
      <c r="H90" s="111">
        <v>20</v>
      </c>
      <c r="I90" s="111">
        <v>11</v>
      </c>
      <c r="J90" s="111">
        <f t="shared" ref="J90:J101" si="34">H90-I90</f>
        <v>9</v>
      </c>
      <c r="K90" s="117">
        <v>55.82</v>
      </c>
      <c r="L90" s="106">
        <f t="shared" si="33"/>
        <v>502.38</v>
      </c>
      <c r="M90" s="117">
        <f t="shared" ref="M90:M110" si="35">L90*18%</f>
        <v>90.428399999999996</v>
      </c>
      <c r="N90" s="117">
        <f t="shared" ref="N90:N110" si="36">L90+M90</f>
        <v>592.80840000000001</v>
      </c>
    </row>
    <row r="91" spans="2:14" ht="32.25" customHeight="1" x14ac:dyDescent="0.5">
      <c r="B91" s="162">
        <v>43048</v>
      </c>
      <c r="C91" s="107" t="s">
        <v>196</v>
      </c>
      <c r="D91" s="163">
        <v>43048</v>
      </c>
      <c r="E91" s="120" t="s">
        <v>193</v>
      </c>
      <c r="F91" s="109" t="s">
        <v>51</v>
      </c>
      <c r="G91" s="110">
        <v>3</v>
      </c>
      <c r="H91" s="110">
        <v>11</v>
      </c>
      <c r="I91" s="110">
        <v>11</v>
      </c>
      <c r="J91" s="110">
        <f t="shared" si="34"/>
        <v>0</v>
      </c>
      <c r="K91" s="164">
        <v>134</v>
      </c>
      <c r="L91" s="119">
        <f t="shared" si="33"/>
        <v>0</v>
      </c>
      <c r="M91" s="119">
        <f t="shared" si="35"/>
        <v>0</v>
      </c>
      <c r="N91" s="119">
        <f t="shared" si="36"/>
        <v>0</v>
      </c>
    </row>
    <row r="92" spans="2:14" ht="30" customHeight="1" x14ac:dyDescent="0.5">
      <c r="B92" s="121">
        <v>43048</v>
      </c>
      <c r="C92" s="122" t="s">
        <v>70</v>
      </c>
      <c r="D92" s="115">
        <v>43048</v>
      </c>
      <c r="E92" s="116" t="s">
        <v>194</v>
      </c>
      <c r="F92" s="111" t="s">
        <v>51</v>
      </c>
      <c r="G92" s="111">
        <v>4</v>
      </c>
      <c r="H92" s="111">
        <v>10</v>
      </c>
      <c r="I92" s="111">
        <v>10</v>
      </c>
      <c r="J92" s="111">
        <f t="shared" si="34"/>
        <v>0</v>
      </c>
      <c r="K92" s="117">
        <v>254</v>
      </c>
      <c r="L92" s="117">
        <f t="shared" si="33"/>
        <v>0</v>
      </c>
      <c r="M92" s="117">
        <f t="shared" si="35"/>
        <v>0</v>
      </c>
      <c r="N92" s="117">
        <f t="shared" si="36"/>
        <v>0</v>
      </c>
    </row>
    <row r="93" spans="2:14" ht="32.25" customHeight="1" x14ac:dyDescent="0.5">
      <c r="B93" s="121" t="s">
        <v>195</v>
      </c>
      <c r="C93" s="122" t="s">
        <v>72</v>
      </c>
      <c r="D93" s="115">
        <v>44788</v>
      </c>
      <c r="E93" s="116" t="s">
        <v>52</v>
      </c>
      <c r="F93" s="111" t="s">
        <v>51</v>
      </c>
      <c r="G93" s="111">
        <v>0</v>
      </c>
      <c r="H93" s="111">
        <v>144</v>
      </c>
      <c r="I93" s="111">
        <f>61+3+3+2</f>
        <v>69</v>
      </c>
      <c r="J93" s="111">
        <f t="shared" si="34"/>
        <v>75</v>
      </c>
      <c r="K93" s="117">
        <v>8.5</v>
      </c>
      <c r="L93" s="117">
        <f t="shared" si="33"/>
        <v>637.5</v>
      </c>
      <c r="M93" s="117">
        <f t="shared" si="35"/>
        <v>114.75</v>
      </c>
      <c r="N93" s="117">
        <f t="shared" si="36"/>
        <v>752.25</v>
      </c>
    </row>
    <row r="94" spans="2:14" s="91" customFormat="1" ht="33.75" customHeight="1" x14ac:dyDescent="0.5">
      <c r="B94" s="123" t="str">
        <f>B93</f>
        <v>4/27/2019</v>
      </c>
      <c r="C94" s="124" t="s">
        <v>72</v>
      </c>
      <c r="D94" s="125">
        <f>D93</f>
        <v>44788</v>
      </c>
      <c r="E94" s="126" t="s">
        <v>239</v>
      </c>
      <c r="F94" s="166" t="str">
        <f>F93</f>
        <v>UNID.</v>
      </c>
      <c r="G94" s="166">
        <v>0</v>
      </c>
      <c r="H94" s="127">
        <v>36</v>
      </c>
      <c r="I94" s="127">
        <v>36</v>
      </c>
      <c r="J94" s="127">
        <f t="shared" si="34"/>
        <v>0</v>
      </c>
      <c r="K94" s="128">
        <v>26</v>
      </c>
      <c r="L94" s="149">
        <f t="shared" si="33"/>
        <v>0</v>
      </c>
      <c r="M94" s="149">
        <f t="shared" si="35"/>
        <v>0</v>
      </c>
      <c r="N94" s="128">
        <f t="shared" si="36"/>
        <v>0</v>
      </c>
    </row>
    <row r="95" spans="2:14" s="93" customFormat="1" ht="33.75" customHeight="1" x14ac:dyDescent="0.5">
      <c r="B95" s="143" t="str">
        <f>B93</f>
        <v>4/27/2019</v>
      </c>
      <c r="C95" s="144" t="s">
        <v>66</v>
      </c>
      <c r="D95" s="145">
        <f>D93</f>
        <v>44788</v>
      </c>
      <c r="E95" s="222" t="s">
        <v>424</v>
      </c>
      <c r="F95" s="147" t="s">
        <v>9</v>
      </c>
      <c r="G95" s="147">
        <v>4</v>
      </c>
      <c r="H95" s="148">
        <v>18</v>
      </c>
      <c r="I95" s="148">
        <v>0</v>
      </c>
      <c r="J95" s="148">
        <f>H95-I95</f>
        <v>18</v>
      </c>
      <c r="K95" s="149">
        <v>104</v>
      </c>
      <c r="L95" s="149">
        <f t="shared" ref="L95" si="37">J95*K95</f>
        <v>1872</v>
      </c>
      <c r="M95" s="149">
        <f t="shared" ref="M95" si="38">L95*18%</f>
        <v>336.96</v>
      </c>
      <c r="N95" s="149">
        <f t="shared" ref="N95" si="39">L95+M95</f>
        <v>2208.96</v>
      </c>
    </row>
    <row r="96" spans="2:14" s="93" customFormat="1" ht="33.75" customHeight="1" x14ac:dyDescent="0.5">
      <c r="B96" s="143" t="str">
        <f>B94</f>
        <v>4/27/2019</v>
      </c>
      <c r="C96" s="144" t="s">
        <v>72</v>
      </c>
      <c r="D96" s="145">
        <f>D94</f>
        <v>44788</v>
      </c>
      <c r="E96" s="222" t="s">
        <v>229</v>
      </c>
      <c r="F96" s="147" t="s">
        <v>9</v>
      </c>
      <c r="G96" s="147">
        <v>4</v>
      </c>
      <c r="H96" s="148">
        <v>4</v>
      </c>
      <c r="I96" s="148">
        <v>0</v>
      </c>
      <c r="J96" s="148">
        <f>H96-I96</f>
        <v>4</v>
      </c>
      <c r="K96" s="149">
        <v>105</v>
      </c>
      <c r="L96" s="149">
        <f t="shared" si="33"/>
        <v>420</v>
      </c>
      <c r="M96" s="149">
        <f t="shared" si="35"/>
        <v>75.599999999999994</v>
      </c>
      <c r="N96" s="149">
        <f t="shared" si="36"/>
        <v>495.6</v>
      </c>
    </row>
    <row r="97" spans="2:41" s="91" customFormat="1" ht="31.5" customHeight="1" x14ac:dyDescent="0.5">
      <c r="B97" s="123" t="str">
        <f t="shared" ref="B97" si="40">B96</f>
        <v>4/27/2019</v>
      </c>
      <c r="C97" s="124" t="s">
        <v>72</v>
      </c>
      <c r="D97" s="125">
        <f t="shared" ref="D97" si="41">D96</f>
        <v>44788</v>
      </c>
      <c r="E97" s="126" t="s">
        <v>230</v>
      </c>
      <c r="F97" s="166" t="s">
        <v>51</v>
      </c>
      <c r="G97" s="166">
        <v>5</v>
      </c>
      <c r="H97" s="127">
        <v>7</v>
      </c>
      <c r="I97" s="127">
        <v>7</v>
      </c>
      <c r="J97" s="127">
        <f>H97-I97</f>
        <v>0</v>
      </c>
      <c r="K97" s="128">
        <v>25</v>
      </c>
      <c r="L97" s="149">
        <f t="shared" si="33"/>
        <v>0</v>
      </c>
      <c r="M97" s="149">
        <f t="shared" si="35"/>
        <v>0</v>
      </c>
      <c r="N97" s="128">
        <f t="shared" si="36"/>
        <v>0</v>
      </c>
    </row>
    <row r="98" spans="2:41" x14ac:dyDescent="0.5">
      <c r="B98" s="121">
        <v>43047</v>
      </c>
      <c r="C98" s="122" t="s">
        <v>73</v>
      </c>
      <c r="D98" s="115">
        <v>44788</v>
      </c>
      <c r="E98" s="116" t="s">
        <v>14</v>
      </c>
      <c r="F98" s="105" t="s">
        <v>51</v>
      </c>
      <c r="G98" s="105">
        <v>0</v>
      </c>
      <c r="H98" s="111">
        <v>432</v>
      </c>
      <c r="I98" s="111">
        <f>140+7+1+40+1</f>
        <v>189</v>
      </c>
      <c r="J98" s="111">
        <f>H98-I98</f>
        <v>243</v>
      </c>
      <c r="K98" s="117">
        <v>7</v>
      </c>
      <c r="L98" s="117">
        <f t="shared" si="33"/>
        <v>1701</v>
      </c>
      <c r="M98" s="117">
        <f t="shared" si="35"/>
        <v>306.18</v>
      </c>
      <c r="N98" s="117">
        <f t="shared" si="36"/>
        <v>2007.18</v>
      </c>
    </row>
    <row r="99" spans="2:41" s="91" customFormat="1" x14ac:dyDescent="0.5">
      <c r="B99" s="123">
        <f>B98</f>
        <v>43047</v>
      </c>
      <c r="C99" s="124" t="s">
        <v>73</v>
      </c>
      <c r="D99" s="125">
        <f>D98</f>
        <v>44788</v>
      </c>
      <c r="E99" s="126" t="s">
        <v>233</v>
      </c>
      <c r="F99" s="166" t="str">
        <f>F98</f>
        <v>UNID.</v>
      </c>
      <c r="G99" s="166">
        <v>28</v>
      </c>
      <c r="H99" s="127">
        <v>32</v>
      </c>
      <c r="I99" s="127">
        <v>25</v>
      </c>
      <c r="J99" s="127">
        <f>H99-I99</f>
        <v>7</v>
      </c>
      <c r="K99" s="128">
        <v>7</v>
      </c>
      <c r="L99" s="128">
        <f t="shared" si="33"/>
        <v>49</v>
      </c>
      <c r="M99" s="128">
        <f t="shared" si="35"/>
        <v>8.82</v>
      </c>
      <c r="N99" s="128">
        <f t="shared" si="36"/>
        <v>57.82</v>
      </c>
    </row>
    <row r="100" spans="2:41" s="90" customFormat="1" ht="30.75" customHeight="1" x14ac:dyDescent="0.5">
      <c r="B100" s="135">
        <v>43048</v>
      </c>
      <c r="C100" s="136" t="s">
        <v>186</v>
      </c>
      <c r="D100" s="137">
        <v>43048</v>
      </c>
      <c r="E100" s="151" t="s">
        <v>187</v>
      </c>
      <c r="F100" s="140" t="s">
        <v>51</v>
      </c>
      <c r="G100" s="140">
        <v>41</v>
      </c>
      <c r="H100" s="140">
        <v>61</v>
      </c>
      <c r="I100" s="140">
        <f>34+1+1</f>
        <v>36</v>
      </c>
      <c r="J100" s="140">
        <f t="shared" si="34"/>
        <v>25</v>
      </c>
      <c r="K100" s="141">
        <v>25</v>
      </c>
      <c r="L100" s="141">
        <f t="shared" si="33"/>
        <v>625</v>
      </c>
      <c r="M100" s="141">
        <f t="shared" si="35"/>
        <v>112.5</v>
      </c>
      <c r="N100" s="141">
        <f t="shared" si="36"/>
        <v>737.5</v>
      </c>
    </row>
    <row r="101" spans="2:41" ht="37.5" customHeight="1" x14ac:dyDescent="0.5">
      <c r="B101" s="121">
        <v>43049</v>
      </c>
      <c r="C101" s="122" t="s">
        <v>75</v>
      </c>
      <c r="D101" s="115">
        <v>43049</v>
      </c>
      <c r="E101" s="116" t="s">
        <v>224</v>
      </c>
      <c r="F101" s="111" t="s">
        <v>51</v>
      </c>
      <c r="G101" s="111">
        <v>10</v>
      </c>
      <c r="H101" s="111">
        <v>40</v>
      </c>
      <c r="I101" s="111">
        <v>40</v>
      </c>
      <c r="J101" s="111">
        <f t="shared" si="34"/>
        <v>0</v>
      </c>
      <c r="K101" s="117">
        <v>55.45</v>
      </c>
      <c r="L101" s="117">
        <f t="shared" si="33"/>
        <v>0</v>
      </c>
      <c r="M101" s="117">
        <f t="shared" si="35"/>
        <v>0</v>
      </c>
      <c r="N101" s="117">
        <f t="shared" si="36"/>
        <v>0</v>
      </c>
    </row>
    <row r="102" spans="2:41" s="93" customFormat="1" x14ac:dyDescent="0.5">
      <c r="B102" s="143">
        <f>B101</f>
        <v>43049</v>
      </c>
      <c r="C102" s="144" t="s">
        <v>75</v>
      </c>
      <c r="D102" s="145">
        <f>D101</f>
        <v>43049</v>
      </c>
      <c r="E102" s="146" t="s">
        <v>232</v>
      </c>
      <c r="F102" s="148" t="str">
        <f>F101</f>
        <v>UNID.</v>
      </c>
      <c r="G102" s="147">
        <v>3</v>
      </c>
      <c r="H102" s="147">
        <v>8</v>
      </c>
      <c r="I102" s="147">
        <v>7</v>
      </c>
      <c r="J102" s="147">
        <f>H102-I102</f>
        <v>1</v>
      </c>
      <c r="K102" s="150">
        <v>48</v>
      </c>
      <c r="L102" s="149">
        <f t="shared" si="33"/>
        <v>48</v>
      </c>
      <c r="M102" s="149">
        <f t="shared" si="35"/>
        <v>8.64</v>
      </c>
      <c r="N102" s="149">
        <f t="shared" si="36"/>
        <v>56.64</v>
      </c>
    </row>
    <row r="103" spans="2:41" ht="32.25" customHeight="1" x14ac:dyDescent="0.5">
      <c r="B103" s="121">
        <v>43050</v>
      </c>
      <c r="C103" s="122" t="s">
        <v>76</v>
      </c>
      <c r="D103" s="115">
        <v>43050</v>
      </c>
      <c r="E103" s="104" t="s">
        <v>20</v>
      </c>
      <c r="F103" s="111" t="s">
        <v>51</v>
      </c>
      <c r="G103" s="105">
        <v>1</v>
      </c>
      <c r="H103" s="105">
        <v>7</v>
      </c>
      <c r="I103" s="105">
        <v>7</v>
      </c>
      <c r="J103" s="147">
        <f>H103-I103</f>
        <v>0</v>
      </c>
      <c r="K103" s="106">
        <v>6</v>
      </c>
      <c r="L103" s="106">
        <f t="shared" si="33"/>
        <v>0</v>
      </c>
      <c r="M103" s="106">
        <f t="shared" si="35"/>
        <v>0</v>
      </c>
      <c r="N103" s="106">
        <f t="shared" si="36"/>
        <v>0</v>
      </c>
    </row>
    <row r="104" spans="2:41" s="93" customFormat="1" x14ac:dyDescent="0.5">
      <c r="B104" s="143">
        <f>B103</f>
        <v>43050</v>
      </c>
      <c r="C104" s="144" t="s">
        <v>76</v>
      </c>
      <c r="D104" s="145">
        <f>D103</f>
        <v>43050</v>
      </c>
      <c r="E104" s="146" t="s">
        <v>225</v>
      </c>
      <c r="F104" s="148" t="str">
        <f>F103</f>
        <v>UNID.</v>
      </c>
      <c r="G104" s="147">
        <v>8</v>
      </c>
      <c r="H104" s="147">
        <v>8</v>
      </c>
      <c r="I104" s="147">
        <v>6</v>
      </c>
      <c r="J104" s="147">
        <f t="shared" ref="J104:J110" si="42">H104-I104</f>
        <v>2</v>
      </c>
      <c r="K104" s="147">
        <f>I104-J104</f>
        <v>4</v>
      </c>
      <c r="L104" s="106">
        <f t="shared" ref="L104:L110" si="43">J104*K104</f>
        <v>8</v>
      </c>
      <c r="M104" s="106">
        <f t="shared" si="35"/>
        <v>1.44</v>
      </c>
      <c r="N104" s="106">
        <f t="shared" si="36"/>
        <v>9.44</v>
      </c>
      <c r="O104" s="241">
        <f>M104-N104</f>
        <v>-8</v>
      </c>
      <c r="P104" s="241">
        <f>N104-O104</f>
        <v>17.439999999999998</v>
      </c>
    </row>
    <row r="105" spans="2:41" s="91" customFormat="1" ht="28.5" customHeight="1" x14ac:dyDescent="0.5">
      <c r="B105" s="123">
        <v>44550</v>
      </c>
      <c r="C105" s="124" t="s">
        <v>301</v>
      </c>
      <c r="D105" s="125">
        <v>44550</v>
      </c>
      <c r="E105" s="165" t="s">
        <v>294</v>
      </c>
      <c r="F105" s="127" t="s">
        <v>51</v>
      </c>
      <c r="G105" s="166">
        <v>3</v>
      </c>
      <c r="H105" s="166">
        <v>3</v>
      </c>
      <c r="I105" s="166">
        <v>1</v>
      </c>
      <c r="J105" s="166">
        <f t="shared" si="42"/>
        <v>2</v>
      </c>
      <c r="K105" s="166">
        <v>2692.49</v>
      </c>
      <c r="L105" s="106">
        <f t="shared" si="43"/>
        <v>5384.98</v>
      </c>
      <c r="M105" s="106">
        <f t="shared" ref="M105:M106" si="44">L105*18%</f>
        <v>969.29639999999984</v>
      </c>
      <c r="N105" s="106">
        <f t="shared" ref="N105:N106" si="45">L105+M105</f>
        <v>6354.2763999999997</v>
      </c>
      <c r="O105" s="94"/>
      <c r="P105" s="94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  <c r="AE105" s="93"/>
      <c r="AF105" s="93"/>
      <c r="AG105" s="93"/>
      <c r="AH105" s="93"/>
      <c r="AI105" s="93"/>
      <c r="AJ105" s="93"/>
      <c r="AK105" s="93"/>
      <c r="AL105" s="93"/>
      <c r="AM105" s="93"/>
      <c r="AN105" s="93"/>
      <c r="AO105" s="93"/>
    </row>
    <row r="106" spans="2:41" s="93" customFormat="1" ht="27.75" customHeight="1" x14ac:dyDescent="0.5">
      <c r="B106" s="143">
        <v>44550</v>
      </c>
      <c r="C106" s="144" t="s">
        <v>301</v>
      </c>
      <c r="D106" s="145">
        <v>44550</v>
      </c>
      <c r="E106" s="146" t="s">
        <v>295</v>
      </c>
      <c r="F106" s="148" t="s">
        <v>51</v>
      </c>
      <c r="G106" s="147">
        <v>14</v>
      </c>
      <c r="H106" s="147">
        <v>15</v>
      </c>
      <c r="I106" s="147">
        <v>14</v>
      </c>
      <c r="J106" s="147">
        <f t="shared" si="42"/>
        <v>1</v>
      </c>
      <c r="K106" s="147">
        <v>210.17</v>
      </c>
      <c r="L106" s="106">
        <f t="shared" si="43"/>
        <v>210.17</v>
      </c>
      <c r="M106" s="106">
        <f t="shared" si="44"/>
        <v>37.830599999999997</v>
      </c>
      <c r="N106" s="106">
        <f t="shared" si="45"/>
        <v>248.00059999999999</v>
      </c>
      <c r="O106" s="242"/>
      <c r="P106" s="242"/>
    </row>
    <row r="107" spans="2:41" x14ac:dyDescent="0.5">
      <c r="B107" s="223">
        <f>B104</f>
        <v>43050</v>
      </c>
      <c r="C107" s="224" t="s">
        <v>76</v>
      </c>
      <c r="D107" s="225">
        <f>D104</f>
        <v>43050</v>
      </c>
      <c r="E107" s="239" t="s">
        <v>244</v>
      </c>
      <c r="F107" s="188" t="str">
        <f>F104</f>
        <v>UNID.</v>
      </c>
      <c r="G107" s="240">
        <v>1</v>
      </c>
      <c r="H107" s="240">
        <v>10</v>
      </c>
      <c r="I107" s="240">
        <f>2+2</f>
        <v>4</v>
      </c>
      <c r="J107" s="240">
        <f t="shared" si="42"/>
        <v>6</v>
      </c>
      <c r="K107" s="240">
        <v>130</v>
      </c>
      <c r="L107" s="170">
        <f t="shared" si="43"/>
        <v>780</v>
      </c>
      <c r="M107" s="170">
        <f t="shared" si="35"/>
        <v>140.4</v>
      </c>
      <c r="N107" s="170">
        <f t="shared" si="36"/>
        <v>920.4</v>
      </c>
      <c r="O107" s="243"/>
      <c r="P107" s="243"/>
    </row>
    <row r="108" spans="2:41" ht="26.25" customHeight="1" x14ac:dyDescent="0.5">
      <c r="B108" s="223">
        <f>B104</f>
        <v>43050</v>
      </c>
      <c r="C108" s="224" t="s">
        <v>76</v>
      </c>
      <c r="D108" s="225">
        <f>D104</f>
        <v>43050</v>
      </c>
      <c r="E108" s="239" t="s">
        <v>226</v>
      </c>
      <c r="F108" s="188" t="str">
        <f>F104</f>
        <v>UNID.</v>
      </c>
      <c r="G108" s="240">
        <v>3</v>
      </c>
      <c r="H108" s="240">
        <v>18</v>
      </c>
      <c r="I108" s="240">
        <v>2</v>
      </c>
      <c r="J108" s="240">
        <f>H108-I108</f>
        <v>16</v>
      </c>
      <c r="K108" s="240">
        <v>350</v>
      </c>
      <c r="L108" s="170">
        <f t="shared" si="43"/>
        <v>5600</v>
      </c>
      <c r="M108" s="170">
        <f t="shared" si="35"/>
        <v>1008</v>
      </c>
      <c r="N108" s="170">
        <f t="shared" si="36"/>
        <v>6608</v>
      </c>
      <c r="O108" s="243"/>
      <c r="P108" s="243"/>
    </row>
    <row r="109" spans="2:41" x14ac:dyDescent="0.5">
      <c r="B109" s="223">
        <f>B108</f>
        <v>43050</v>
      </c>
      <c r="C109" s="224" t="s">
        <v>76</v>
      </c>
      <c r="D109" s="225">
        <f>D108</f>
        <v>43050</v>
      </c>
      <c r="E109" s="239" t="s">
        <v>248</v>
      </c>
      <c r="F109" s="188" t="str">
        <f>F108</f>
        <v>UNID.</v>
      </c>
      <c r="G109" s="240">
        <v>2</v>
      </c>
      <c r="H109" s="240">
        <v>2</v>
      </c>
      <c r="I109" s="240">
        <v>1</v>
      </c>
      <c r="J109" s="240">
        <f t="shared" si="42"/>
        <v>1</v>
      </c>
      <c r="K109" s="240">
        <v>350</v>
      </c>
      <c r="L109" s="170">
        <f t="shared" si="43"/>
        <v>350</v>
      </c>
      <c r="M109" s="170">
        <f t="shared" si="35"/>
        <v>63</v>
      </c>
      <c r="N109" s="170">
        <f t="shared" si="36"/>
        <v>413</v>
      </c>
      <c r="O109" s="243"/>
      <c r="P109" s="243"/>
    </row>
    <row r="110" spans="2:41" s="90" customFormat="1" x14ac:dyDescent="0.5">
      <c r="B110" s="152">
        <f>B109</f>
        <v>43050</v>
      </c>
      <c r="C110" s="153" t="s">
        <v>76</v>
      </c>
      <c r="D110" s="154">
        <f>D109</f>
        <v>43050</v>
      </c>
      <c r="E110" s="168" t="s">
        <v>227</v>
      </c>
      <c r="F110" s="156" t="str">
        <f>F109</f>
        <v>UNID.</v>
      </c>
      <c r="G110" s="169">
        <v>2</v>
      </c>
      <c r="H110" s="169">
        <v>5</v>
      </c>
      <c r="I110" s="169">
        <v>4</v>
      </c>
      <c r="J110" s="169">
        <f t="shared" si="42"/>
        <v>1</v>
      </c>
      <c r="K110" s="169">
        <v>350</v>
      </c>
      <c r="L110" s="170">
        <f t="shared" si="43"/>
        <v>350</v>
      </c>
      <c r="M110" s="170">
        <f t="shared" si="35"/>
        <v>63</v>
      </c>
      <c r="N110" s="170">
        <f t="shared" si="36"/>
        <v>413</v>
      </c>
      <c r="O110" s="95"/>
      <c r="P110" s="95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</row>
    <row r="111" spans="2:41" x14ac:dyDescent="0.5">
      <c r="B111" s="143">
        <f>B108</f>
        <v>43050</v>
      </c>
      <c r="C111" s="144" t="s">
        <v>76</v>
      </c>
      <c r="D111" s="145">
        <f>D108</f>
        <v>43050</v>
      </c>
      <c r="E111" s="146" t="s">
        <v>231</v>
      </c>
      <c r="F111" s="148" t="str">
        <f>F108</f>
        <v>UNID.</v>
      </c>
      <c r="G111" s="147">
        <v>2</v>
      </c>
      <c r="H111" s="147">
        <v>3</v>
      </c>
      <c r="I111" s="147">
        <v>1</v>
      </c>
      <c r="J111" s="147">
        <f>H111-I111</f>
        <v>2</v>
      </c>
      <c r="K111" s="147">
        <v>95</v>
      </c>
      <c r="L111" s="150">
        <f>J111*K111</f>
        <v>190</v>
      </c>
      <c r="M111" s="150">
        <f>L111*18%</f>
        <v>34.199999999999996</v>
      </c>
      <c r="N111" s="150">
        <f>L111+M111</f>
        <v>224.2</v>
      </c>
      <c r="O111" s="243"/>
      <c r="P111" s="243"/>
    </row>
    <row r="112" spans="2:41" ht="39" customHeight="1" x14ac:dyDescent="0.5">
      <c r="B112" s="143">
        <v>44550</v>
      </c>
      <c r="C112" s="122" t="s">
        <v>185</v>
      </c>
      <c r="D112" s="145">
        <v>44550</v>
      </c>
      <c r="E112" s="146" t="s">
        <v>300</v>
      </c>
      <c r="F112" s="148" t="s">
        <v>51</v>
      </c>
      <c r="G112" s="147">
        <v>3</v>
      </c>
      <c r="H112" s="147">
        <v>16</v>
      </c>
      <c r="I112" s="147">
        <v>2</v>
      </c>
      <c r="J112" s="147">
        <f t="shared" ref="J112:J134" si="46">H112-I112</f>
        <v>14</v>
      </c>
      <c r="K112" s="147">
        <v>986</v>
      </c>
      <c r="L112" s="106">
        <f t="shared" ref="L112:L134" si="47">J112*K112</f>
        <v>13804</v>
      </c>
      <c r="M112" s="106">
        <f t="shared" ref="M112:M134" si="48">L112*18%</f>
        <v>2484.7199999999998</v>
      </c>
      <c r="N112" s="106">
        <f t="shared" ref="N112:N134" si="49">L112+M112</f>
        <v>16288.72</v>
      </c>
      <c r="O112" s="243"/>
      <c r="P112" s="243"/>
    </row>
    <row r="113" spans="2:41" s="90" customFormat="1" x14ac:dyDescent="0.5">
      <c r="B113" s="123">
        <v>44550</v>
      </c>
      <c r="C113" s="122" t="s">
        <v>185</v>
      </c>
      <c r="D113" s="125">
        <v>44550</v>
      </c>
      <c r="E113" s="165" t="s">
        <v>299</v>
      </c>
      <c r="F113" s="127" t="s">
        <v>51</v>
      </c>
      <c r="G113" s="166">
        <v>0</v>
      </c>
      <c r="H113" s="166">
        <v>1</v>
      </c>
      <c r="I113" s="166">
        <v>1</v>
      </c>
      <c r="J113" s="166">
        <f t="shared" si="46"/>
        <v>0</v>
      </c>
      <c r="K113" s="166">
        <v>5222.6000000000004</v>
      </c>
      <c r="L113" s="106">
        <f t="shared" si="47"/>
        <v>0</v>
      </c>
      <c r="M113" s="106">
        <f t="shared" si="48"/>
        <v>0</v>
      </c>
      <c r="N113" s="106">
        <f t="shared" si="49"/>
        <v>0</v>
      </c>
      <c r="O113" s="95"/>
      <c r="P113" s="95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</row>
    <row r="114" spans="2:41" s="90" customFormat="1" x14ac:dyDescent="0.5">
      <c r="B114" s="152">
        <f t="shared" ref="B114" si="50">B113</f>
        <v>44550</v>
      </c>
      <c r="C114" s="153" t="s">
        <v>213</v>
      </c>
      <c r="D114" s="154">
        <f t="shared" ref="D114" si="51">D113</f>
        <v>44550</v>
      </c>
      <c r="E114" s="155" t="s">
        <v>243</v>
      </c>
      <c r="F114" s="156" t="str">
        <f>F113</f>
        <v>UNID.</v>
      </c>
      <c r="G114" s="156">
        <v>1</v>
      </c>
      <c r="H114" s="157">
        <v>1</v>
      </c>
      <c r="I114" s="157">
        <v>1</v>
      </c>
      <c r="J114" s="156">
        <f t="shared" si="46"/>
        <v>0</v>
      </c>
      <c r="K114" s="158">
        <v>1500</v>
      </c>
      <c r="L114" s="159">
        <f t="shared" si="47"/>
        <v>0</v>
      </c>
      <c r="M114" s="159">
        <f t="shared" si="48"/>
        <v>0</v>
      </c>
      <c r="N114" s="159">
        <f t="shared" si="49"/>
        <v>0</v>
      </c>
      <c r="O114" s="95"/>
      <c r="P114" s="95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</row>
    <row r="115" spans="2:41" s="90" customFormat="1" x14ac:dyDescent="0.5">
      <c r="B115" s="123">
        <f>B114</f>
        <v>44550</v>
      </c>
      <c r="C115" s="124" t="s">
        <v>72</v>
      </c>
      <c r="D115" s="125">
        <f>D114</f>
        <v>44550</v>
      </c>
      <c r="E115" s="126" t="s">
        <v>228</v>
      </c>
      <c r="F115" s="166" t="s">
        <v>51</v>
      </c>
      <c r="G115" s="127">
        <v>0</v>
      </c>
      <c r="H115" s="127">
        <v>3</v>
      </c>
      <c r="I115" s="127">
        <v>3</v>
      </c>
      <c r="J115" s="127">
        <v>0</v>
      </c>
      <c r="K115" s="128">
        <v>150</v>
      </c>
      <c r="L115" s="149">
        <f t="shared" si="47"/>
        <v>0</v>
      </c>
      <c r="M115" s="149">
        <f t="shared" si="48"/>
        <v>0</v>
      </c>
      <c r="N115" s="128">
        <f t="shared" si="49"/>
        <v>0</v>
      </c>
      <c r="O115" s="95"/>
      <c r="P115" s="95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</row>
    <row r="116" spans="2:41" s="90" customFormat="1" ht="36.75" customHeight="1" x14ac:dyDescent="0.5">
      <c r="B116" s="123">
        <v>44550</v>
      </c>
      <c r="C116" s="122" t="s">
        <v>185</v>
      </c>
      <c r="D116" s="125">
        <v>44550</v>
      </c>
      <c r="E116" s="165" t="s">
        <v>298</v>
      </c>
      <c r="F116" s="127" t="s">
        <v>51</v>
      </c>
      <c r="G116" s="166">
        <v>4</v>
      </c>
      <c r="H116" s="166">
        <v>5</v>
      </c>
      <c r="I116" s="166">
        <v>5</v>
      </c>
      <c r="J116" s="166">
        <f t="shared" si="46"/>
        <v>0</v>
      </c>
      <c r="K116" s="166">
        <v>711.2</v>
      </c>
      <c r="L116" s="106">
        <f t="shared" si="47"/>
        <v>0</v>
      </c>
      <c r="M116" s="106">
        <f t="shared" si="48"/>
        <v>0</v>
      </c>
      <c r="N116" s="106">
        <f t="shared" si="49"/>
        <v>0</v>
      </c>
      <c r="O116" s="95"/>
      <c r="P116" s="95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</row>
    <row r="117" spans="2:41" s="90" customFormat="1" ht="41.25" customHeight="1" x14ac:dyDescent="0.5">
      <c r="B117" s="123">
        <v>44550</v>
      </c>
      <c r="C117" s="122" t="s">
        <v>185</v>
      </c>
      <c r="D117" s="125">
        <v>44550</v>
      </c>
      <c r="E117" s="165" t="s">
        <v>297</v>
      </c>
      <c r="F117" s="127" t="s">
        <v>51</v>
      </c>
      <c r="G117" s="166">
        <v>1</v>
      </c>
      <c r="H117" s="166">
        <v>1</v>
      </c>
      <c r="I117" s="166">
        <v>1</v>
      </c>
      <c r="J117" s="166">
        <f t="shared" si="46"/>
        <v>0</v>
      </c>
      <c r="K117" s="166">
        <v>602.64</v>
      </c>
      <c r="L117" s="106">
        <f t="shared" si="47"/>
        <v>0</v>
      </c>
      <c r="M117" s="106">
        <f t="shared" si="48"/>
        <v>0</v>
      </c>
      <c r="N117" s="106">
        <f t="shared" si="49"/>
        <v>0</v>
      </c>
      <c r="O117" s="95"/>
      <c r="P117" s="95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</row>
    <row r="118" spans="2:41" ht="39.75" customHeight="1" x14ac:dyDescent="0.5">
      <c r="B118" s="121">
        <v>43619</v>
      </c>
      <c r="C118" s="122" t="s">
        <v>171</v>
      </c>
      <c r="D118" s="115">
        <v>43619</v>
      </c>
      <c r="E118" s="116" t="s">
        <v>259</v>
      </c>
      <c r="F118" s="111" t="s">
        <v>51</v>
      </c>
      <c r="G118" s="111">
        <v>1</v>
      </c>
      <c r="H118" s="111">
        <v>3</v>
      </c>
      <c r="I118" s="111">
        <v>3</v>
      </c>
      <c r="J118" s="111">
        <f t="shared" si="46"/>
        <v>0</v>
      </c>
      <c r="K118" s="117">
        <v>6395</v>
      </c>
      <c r="L118" s="117">
        <f t="shared" si="47"/>
        <v>0</v>
      </c>
      <c r="M118" s="117">
        <f t="shared" si="48"/>
        <v>0</v>
      </c>
      <c r="N118" s="117">
        <f t="shared" si="49"/>
        <v>0</v>
      </c>
      <c r="O118" s="243"/>
      <c r="P118" s="243"/>
    </row>
    <row r="119" spans="2:41" s="90" customFormat="1" x14ac:dyDescent="0.5">
      <c r="B119" s="121">
        <v>44007</v>
      </c>
      <c r="C119" s="122" t="s">
        <v>137</v>
      </c>
      <c r="D119" s="115">
        <v>44007</v>
      </c>
      <c r="E119" s="116" t="s">
        <v>141</v>
      </c>
      <c r="F119" s="111" t="s">
        <v>51</v>
      </c>
      <c r="G119" s="111">
        <v>199</v>
      </c>
      <c r="H119" s="111">
        <v>200</v>
      </c>
      <c r="I119" s="111">
        <v>50</v>
      </c>
      <c r="J119" s="111">
        <f t="shared" si="46"/>
        <v>150</v>
      </c>
      <c r="K119" s="117">
        <v>7.97</v>
      </c>
      <c r="L119" s="117">
        <f t="shared" si="47"/>
        <v>1195.5</v>
      </c>
      <c r="M119" s="117">
        <f t="shared" si="48"/>
        <v>215.19</v>
      </c>
      <c r="N119" s="117">
        <f t="shared" si="49"/>
        <v>1410.69</v>
      </c>
      <c r="O119" s="95"/>
      <c r="P119" s="95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</row>
    <row r="120" spans="2:41" x14ac:dyDescent="0.5">
      <c r="B120" s="121">
        <v>44007</v>
      </c>
      <c r="C120" s="122" t="s">
        <v>42</v>
      </c>
      <c r="D120" s="115">
        <v>44007</v>
      </c>
      <c r="E120" s="116" t="s">
        <v>13</v>
      </c>
      <c r="F120" s="111" t="s">
        <v>11</v>
      </c>
      <c r="G120" s="111">
        <v>138</v>
      </c>
      <c r="H120" s="111">
        <v>150</v>
      </c>
      <c r="I120" s="111">
        <v>50</v>
      </c>
      <c r="J120" s="111">
        <f t="shared" si="46"/>
        <v>100</v>
      </c>
      <c r="K120" s="117">
        <v>7.34</v>
      </c>
      <c r="L120" s="117">
        <f t="shared" si="47"/>
        <v>734</v>
      </c>
      <c r="M120" s="117">
        <f t="shared" si="48"/>
        <v>132.12</v>
      </c>
      <c r="N120" s="117">
        <f t="shared" si="49"/>
        <v>866.12</v>
      </c>
      <c r="O120" s="243"/>
      <c r="P120" s="243"/>
    </row>
    <row r="121" spans="2:41" s="90" customFormat="1" ht="36" customHeight="1" x14ac:dyDescent="0.5">
      <c r="B121" s="121">
        <v>43620</v>
      </c>
      <c r="C121" s="122" t="s">
        <v>172</v>
      </c>
      <c r="D121" s="115">
        <v>43620</v>
      </c>
      <c r="E121" s="108" t="s">
        <v>174</v>
      </c>
      <c r="F121" s="111" t="s">
        <v>51</v>
      </c>
      <c r="G121" s="109">
        <v>0</v>
      </c>
      <c r="H121" s="109">
        <v>2</v>
      </c>
      <c r="I121" s="109">
        <v>2</v>
      </c>
      <c r="J121" s="111">
        <f t="shared" ref="J121" si="52">H121-I121</f>
        <v>0</v>
      </c>
      <c r="K121" s="118">
        <v>1750</v>
      </c>
      <c r="L121" s="117">
        <f t="shared" ref="L121" si="53">J121*K121</f>
        <v>0</v>
      </c>
      <c r="M121" s="117">
        <f t="shared" ref="M121" si="54">L121*18%</f>
        <v>0</v>
      </c>
      <c r="N121" s="117">
        <f t="shared" ref="N121" si="55">L121+M121</f>
        <v>0</v>
      </c>
      <c r="O121" s="95"/>
      <c r="P121" s="95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</row>
    <row r="122" spans="2:41" ht="36.75" customHeight="1" x14ac:dyDescent="0.5">
      <c r="B122" s="121">
        <v>44185</v>
      </c>
      <c r="C122" s="122" t="s">
        <v>185</v>
      </c>
      <c r="D122" s="115">
        <v>44788</v>
      </c>
      <c r="E122" s="116" t="s">
        <v>292</v>
      </c>
      <c r="F122" s="111" t="s">
        <v>51</v>
      </c>
      <c r="G122" s="111">
        <v>0</v>
      </c>
      <c r="H122" s="111">
        <v>10</v>
      </c>
      <c r="I122" s="111">
        <v>10</v>
      </c>
      <c r="J122" s="111">
        <f t="shared" ref="J122:J124" si="56">H122-I122</f>
        <v>0</v>
      </c>
      <c r="K122" s="117">
        <v>187</v>
      </c>
      <c r="L122" s="117">
        <f t="shared" ref="L122:L124" si="57">J122*K122</f>
        <v>0</v>
      </c>
      <c r="M122" s="117">
        <f t="shared" ref="M122:M124" si="58">L122*18%</f>
        <v>0</v>
      </c>
      <c r="N122" s="117">
        <f t="shared" ref="N122:N124" si="59">L122+M122</f>
        <v>0</v>
      </c>
      <c r="O122" s="243"/>
      <c r="P122" s="243"/>
    </row>
    <row r="123" spans="2:41" ht="32.25" customHeight="1" x14ac:dyDescent="0.5">
      <c r="B123" s="121">
        <v>44788</v>
      </c>
      <c r="C123" s="122" t="s">
        <v>385</v>
      </c>
      <c r="D123" s="115">
        <v>44788</v>
      </c>
      <c r="E123" s="116" t="s">
        <v>386</v>
      </c>
      <c r="F123" s="111" t="s">
        <v>51</v>
      </c>
      <c r="G123" s="111"/>
      <c r="H123" s="111">
        <v>15</v>
      </c>
      <c r="I123" s="111">
        <v>3</v>
      </c>
      <c r="J123" s="111">
        <f t="shared" si="56"/>
        <v>12</v>
      </c>
      <c r="K123" s="117">
        <v>299</v>
      </c>
      <c r="L123" s="117">
        <f t="shared" si="57"/>
        <v>3588</v>
      </c>
      <c r="M123" s="117">
        <f t="shared" si="58"/>
        <v>645.84</v>
      </c>
      <c r="N123" s="117">
        <f t="shared" si="59"/>
        <v>4233.84</v>
      </c>
      <c r="O123" s="243"/>
      <c r="P123" s="243"/>
    </row>
    <row r="124" spans="2:41" s="90" customFormat="1" ht="32.25" customHeight="1" x14ac:dyDescent="0.5">
      <c r="B124" s="135">
        <v>43830</v>
      </c>
      <c r="C124" s="136" t="s">
        <v>185</v>
      </c>
      <c r="D124" s="137">
        <v>44788</v>
      </c>
      <c r="E124" s="263" t="s">
        <v>293</v>
      </c>
      <c r="F124" s="140" t="s">
        <v>51</v>
      </c>
      <c r="G124" s="262">
        <v>0</v>
      </c>
      <c r="H124" s="262">
        <v>16</v>
      </c>
      <c r="I124" s="262">
        <f>1+1+1</f>
        <v>3</v>
      </c>
      <c r="J124" s="140">
        <f t="shared" si="56"/>
        <v>13</v>
      </c>
      <c r="K124" s="264">
        <v>486</v>
      </c>
      <c r="L124" s="141">
        <f t="shared" si="57"/>
        <v>6318</v>
      </c>
      <c r="M124" s="141">
        <f t="shared" si="58"/>
        <v>1137.24</v>
      </c>
      <c r="N124" s="141">
        <f t="shared" si="59"/>
        <v>7455.24</v>
      </c>
      <c r="O124" s="95"/>
      <c r="P124" s="95"/>
    </row>
    <row r="125" spans="2:41" ht="34.5" customHeight="1" x14ac:dyDescent="0.5">
      <c r="B125" s="121">
        <v>43830</v>
      </c>
      <c r="C125" s="122" t="s">
        <v>185</v>
      </c>
      <c r="D125" s="115">
        <v>44788</v>
      </c>
      <c r="E125" s="108" t="s">
        <v>408</v>
      </c>
      <c r="F125" s="111" t="s">
        <v>51</v>
      </c>
      <c r="G125" s="109">
        <v>0</v>
      </c>
      <c r="H125" s="109">
        <v>16</v>
      </c>
      <c r="I125" s="109">
        <v>0</v>
      </c>
      <c r="J125" s="111">
        <f t="shared" ref="J125" si="60">H125-I125</f>
        <v>16</v>
      </c>
      <c r="K125" s="118">
        <v>1235</v>
      </c>
      <c r="L125" s="117">
        <f t="shared" ref="L125" si="61">J125*K125</f>
        <v>19760</v>
      </c>
      <c r="M125" s="117">
        <f t="shared" ref="M125" si="62">L125*18%</f>
        <v>3556.7999999999997</v>
      </c>
      <c r="N125" s="117">
        <f t="shared" ref="N125" si="63">L125+M125</f>
        <v>23316.799999999999</v>
      </c>
      <c r="O125" s="243"/>
      <c r="P125" s="243"/>
    </row>
    <row r="126" spans="2:41" s="90" customFormat="1" ht="35.25" customHeight="1" x14ac:dyDescent="0.5">
      <c r="B126" s="121">
        <v>43621</v>
      </c>
      <c r="C126" s="122" t="s">
        <v>173</v>
      </c>
      <c r="D126" s="115">
        <v>43621</v>
      </c>
      <c r="E126" s="108" t="s">
        <v>175</v>
      </c>
      <c r="F126" s="111" t="s">
        <v>51</v>
      </c>
      <c r="G126" s="109">
        <v>0</v>
      </c>
      <c r="H126" s="109">
        <v>1</v>
      </c>
      <c r="I126" s="109">
        <v>1</v>
      </c>
      <c r="J126" s="111">
        <f t="shared" ref="J126" si="64">H126-I126</f>
        <v>0</v>
      </c>
      <c r="K126" s="118">
        <v>30650</v>
      </c>
      <c r="L126" s="117">
        <f t="shared" ref="L126" si="65">J126*K126</f>
        <v>0</v>
      </c>
      <c r="M126" s="117">
        <f t="shared" ref="M126" si="66">L126*18%</f>
        <v>0</v>
      </c>
      <c r="N126" s="117">
        <f t="shared" ref="N126" si="67">L126+M126</f>
        <v>0</v>
      </c>
      <c r="O126" s="95"/>
      <c r="P126" s="95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</row>
    <row r="127" spans="2:41" s="90" customFormat="1" ht="36" customHeight="1" x14ac:dyDescent="0.5">
      <c r="B127" s="121">
        <v>44185</v>
      </c>
      <c r="C127" s="122" t="s">
        <v>185</v>
      </c>
      <c r="D127" s="115">
        <v>44185</v>
      </c>
      <c r="E127" s="108" t="s">
        <v>291</v>
      </c>
      <c r="F127" s="111" t="s">
        <v>51</v>
      </c>
      <c r="G127" s="109">
        <v>3</v>
      </c>
      <c r="H127" s="109">
        <v>3</v>
      </c>
      <c r="I127" s="109">
        <v>1</v>
      </c>
      <c r="J127" s="111">
        <f t="shared" ref="J127:J128" si="68">H127-I127</f>
        <v>2</v>
      </c>
      <c r="K127" s="118">
        <v>3760.59</v>
      </c>
      <c r="L127" s="117">
        <f t="shared" ref="L127:L128" si="69">J127*K127</f>
        <v>7521.18</v>
      </c>
      <c r="M127" s="117">
        <f t="shared" ref="M127:M128" si="70">L127*18%</f>
        <v>1353.8124</v>
      </c>
      <c r="N127" s="117">
        <f t="shared" ref="N127:N128" si="71">L127+M127</f>
        <v>8874.992400000001</v>
      </c>
      <c r="O127" s="95"/>
      <c r="P127" s="95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</row>
    <row r="128" spans="2:41" ht="33.75" customHeight="1" x14ac:dyDescent="0.5">
      <c r="B128" s="121">
        <v>43830</v>
      </c>
      <c r="C128" s="122" t="s">
        <v>185</v>
      </c>
      <c r="D128" s="115">
        <v>43830</v>
      </c>
      <c r="E128" s="108" t="s">
        <v>410</v>
      </c>
      <c r="F128" s="111" t="s">
        <v>51</v>
      </c>
      <c r="G128" s="109">
        <v>0</v>
      </c>
      <c r="H128" s="109">
        <v>3</v>
      </c>
      <c r="I128" s="109">
        <v>2</v>
      </c>
      <c r="J128" s="111">
        <f t="shared" si="68"/>
        <v>1</v>
      </c>
      <c r="K128" s="118">
        <v>1066</v>
      </c>
      <c r="L128" s="117">
        <f t="shared" si="69"/>
        <v>1066</v>
      </c>
      <c r="M128" s="117">
        <f t="shared" si="70"/>
        <v>191.88</v>
      </c>
      <c r="N128" s="117">
        <f t="shared" si="71"/>
        <v>1257.8800000000001</v>
      </c>
      <c r="O128" s="243"/>
      <c r="P128" s="243"/>
    </row>
    <row r="129" spans="2:41" s="90" customFormat="1" ht="30.75" customHeight="1" x14ac:dyDescent="0.5">
      <c r="B129" s="121">
        <v>43830</v>
      </c>
      <c r="C129" s="122" t="s">
        <v>185</v>
      </c>
      <c r="D129" s="115">
        <v>43830</v>
      </c>
      <c r="E129" s="108" t="s">
        <v>199</v>
      </c>
      <c r="F129" s="111" t="s">
        <v>51</v>
      </c>
      <c r="G129" s="109">
        <v>0</v>
      </c>
      <c r="H129" s="109">
        <v>1</v>
      </c>
      <c r="I129" s="109">
        <v>1</v>
      </c>
      <c r="J129" s="111">
        <f t="shared" ref="J129" si="72">H129-I129</f>
        <v>0</v>
      </c>
      <c r="K129" s="118">
        <v>1187.0999999999999</v>
      </c>
      <c r="L129" s="117">
        <f t="shared" ref="L129" si="73">J129*K129</f>
        <v>0</v>
      </c>
      <c r="M129" s="117">
        <f t="shared" ref="M129" si="74">L129*18%</f>
        <v>0</v>
      </c>
      <c r="N129" s="117">
        <f t="shared" ref="N129" si="75">L129+M129</f>
        <v>0</v>
      </c>
      <c r="O129" s="95"/>
      <c r="P129" s="95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</row>
    <row r="130" spans="2:41" s="90" customFormat="1" ht="28.5" customHeight="1" x14ac:dyDescent="0.5">
      <c r="B130" s="121">
        <v>43011</v>
      </c>
      <c r="C130" s="122" t="s">
        <v>69</v>
      </c>
      <c r="D130" s="115">
        <v>43011</v>
      </c>
      <c r="E130" s="116" t="s">
        <v>33</v>
      </c>
      <c r="F130" s="111" t="s">
        <v>51</v>
      </c>
      <c r="G130" s="111">
        <v>0</v>
      </c>
      <c r="H130" s="111">
        <v>4</v>
      </c>
      <c r="I130" s="111">
        <v>4</v>
      </c>
      <c r="J130" s="111">
        <f t="shared" ref="J130:J133" si="76">H130-I130</f>
        <v>0</v>
      </c>
      <c r="K130" s="117">
        <v>1364</v>
      </c>
      <c r="L130" s="117">
        <f t="shared" ref="L130:L133" si="77">J130*K130</f>
        <v>0</v>
      </c>
      <c r="M130" s="117">
        <f t="shared" ref="M130:M133" si="78">L130*18%</f>
        <v>0</v>
      </c>
      <c r="N130" s="117">
        <f t="shared" ref="N130:N133" si="79">L130+M130</f>
        <v>0</v>
      </c>
      <c r="O130" s="95"/>
      <c r="P130" s="95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</row>
    <row r="131" spans="2:41" s="90" customFormat="1" ht="33.75" customHeight="1" x14ac:dyDescent="0.5">
      <c r="B131" s="123">
        <v>44550</v>
      </c>
      <c r="C131" s="122" t="s">
        <v>185</v>
      </c>
      <c r="D131" s="125">
        <v>44788</v>
      </c>
      <c r="E131" s="126" t="s">
        <v>401</v>
      </c>
      <c r="F131" s="127" t="s">
        <v>51</v>
      </c>
      <c r="G131" s="127">
        <v>0</v>
      </c>
      <c r="H131" s="127">
        <v>1</v>
      </c>
      <c r="I131" s="127">
        <v>1</v>
      </c>
      <c r="J131" s="127">
        <f t="shared" ref="J131" si="80">H131-I131</f>
        <v>0</v>
      </c>
      <c r="K131" s="127">
        <v>4866.78</v>
      </c>
      <c r="L131" s="117">
        <f t="shared" ref="L131" si="81">J131*K131</f>
        <v>0</v>
      </c>
      <c r="M131" s="117">
        <f t="shared" ref="M131" si="82">L131*18%</f>
        <v>0</v>
      </c>
      <c r="N131" s="117">
        <f t="shared" ref="N131" si="83">L131+M131</f>
        <v>0</v>
      </c>
      <c r="O131" s="95"/>
      <c r="P131" s="95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</row>
    <row r="132" spans="2:41" s="90" customFormat="1" x14ac:dyDescent="0.5">
      <c r="B132" s="123">
        <v>44550</v>
      </c>
      <c r="C132" s="122" t="s">
        <v>185</v>
      </c>
      <c r="D132" s="125">
        <v>44788</v>
      </c>
      <c r="E132" s="126" t="s">
        <v>402</v>
      </c>
      <c r="F132" s="127" t="s">
        <v>51</v>
      </c>
      <c r="G132" s="127">
        <v>0</v>
      </c>
      <c r="H132" s="127">
        <v>1</v>
      </c>
      <c r="I132" s="127">
        <v>1</v>
      </c>
      <c r="J132" s="127">
        <f t="shared" si="76"/>
        <v>0</v>
      </c>
      <c r="K132" s="127">
        <v>18001.919999999998</v>
      </c>
      <c r="L132" s="117">
        <f t="shared" si="77"/>
        <v>0</v>
      </c>
      <c r="M132" s="117">
        <f t="shared" si="78"/>
        <v>0</v>
      </c>
      <c r="N132" s="117">
        <f t="shared" si="79"/>
        <v>0</v>
      </c>
      <c r="O132" s="95"/>
      <c r="P132" s="95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</row>
    <row r="133" spans="2:41" s="90" customFormat="1" x14ac:dyDescent="0.5">
      <c r="B133" s="121">
        <v>44788</v>
      </c>
      <c r="C133" s="122" t="s">
        <v>185</v>
      </c>
      <c r="D133" s="125">
        <v>44788</v>
      </c>
      <c r="E133" s="126" t="s">
        <v>296</v>
      </c>
      <c r="F133" s="127" t="s">
        <v>51</v>
      </c>
      <c r="G133" s="127">
        <v>0</v>
      </c>
      <c r="H133" s="127">
        <v>1</v>
      </c>
      <c r="I133" s="127">
        <v>1</v>
      </c>
      <c r="J133" s="127">
        <f t="shared" si="76"/>
        <v>0</v>
      </c>
      <c r="K133" s="127">
        <v>9409.5300000000007</v>
      </c>
      <c r="L133" s="117">
        <f t="shared" si="77"/>
        <v>0</v>
      </c>
      <c r="M133" s="117">
        <f t="shared" si="78"/>
        <v>0</v>
      </c>
      <c r="N133" s="117">
        <f t="shared" si="79"/>
        <v>0</v>
      </c>
      <c r="O133" s="95"/>
      <c r="P133" s="95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</row>
    <row r="134" spans="2:41" s="90" customFormat="1" x14ac:dyDescent="0.5">
      <c r="B134" s="123">
        <v>44550</v>
      </c>
      <c r="C134" s="122" t="s">
        <v>185</v>
      </c>
      <c r="D134" s="125">
        <v>44788</v>
      </c>
      <c r="E134" s="126" t="s">
        <v>389</v>
      </c>
      <c r="F134" s="127" t="s">
        <v>51</v>
      </c>
      <c r="G134" s="127">
        <v>0</v>
      </c>
      <c r="H134" s="127">
        <v>1</v>
      </c>
      <c r="I134" s="127">
        <v>1</v>
      </c>
      <c r="J134" s="127">
        <f t="shared" si="46"/>
        <v>0</v>
      </c>
      <c r="K134" s="127">
        <v>1355.93</v>
      </c>
      <c r="L134" s="117">
        <f t="shared" si="47"/>
        <v>0</v>
      </c>
      <c r="M134" s="117">
        <f t="shared" si="48"/>
        <v>0</v>
      </c>
      <c r="N134" s="117">
        <f t="shared" si="49"/>
        <v>0</v>
      </c>
      <c r="O134" s="95"/>
      <c r="P134" s="95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</row>
    <row r="135" spans="2:41" ht="36.75" customHeight="1" x14ac:dyDescent="0.5">
      <c r="B135" s="171"/>
      <c r="C135" s="172"/>
      <c r="D135" s="173"/>
      <c r="E135" s="207" t="s">
        <v>278</v>
      </c>
      <c r="F135" s="171"/>
      <c r="G135" s="171"/>
      <c r="H135" s="171"/>
      <c r="I135" s="171"/>
      <c r="J135" s="252" t="s">
        <v>4</v>
      </c>
      <c r="K135" s="174"/>
      <c r="L135" s="174"/>
      <c r="M135" s="174"/>
      <c r="N135" s="174"/>
    </row>
    <row r="136" spans="2:41" ht="27.75" customHeight="1" x14ac:dyDescent="0.5">
      <c r="B136" s="121">
        <v>44550</v>
      </c>
      <c r="C136" s="122" t="s">
        <v>77</v>
      </c>
      <c r="D136" s="160">
        <v>45750</v>
      </c>
      <c r="E136" s="251" t="s">
        <v>445</v>
      </c>
      <c r="F136" s="111" t="s">
        <v>51</v>
      </c>
      <c r="G136" s="111">
        <v>2</v>
      </c>
      <c r="H136" s="148">
        <v>14</v>
      </c>
      <c r="I136" s="148">
        <v>13</v>
      </c>
      <c r="J136" s="111">
        <f>H136-I136+G136</f>
        <v>3</v>
      </c>
      <c r="K136" s="149">
        <v>5194.0200000000004</v>
      </c>
      <c r="L136" s="117">
        <f>J136*K136</f>
        <v>15582.060000000001</v>
      </c>
      <c r="M136" s="117">
        <f t="shared" ref="M136:M144" si="84">L136*18%</f>
        <v>2804.7708000000002</v>
      </c>
      <c r="N136" s="117">
        <f t="shared" ref="N136:N144" si="85">L136+M136</f>
        <v>18386.830800000003</v>
      </c>
    </row>
    <row r="137" spans="2:41" ht="25.5" customHeight="1" x14ac:dyDescent="0.5">
      <c r="B137" s="121">
        <v>44550</v>
      </c>
      <c r="C137" s="122" t="s">
        <v>78</v>
      </c>
      <c r="D137" s="160">
        <v>45750</v>
      </c>
      <c r="E137" s="251" t="s">
        <v>303</v>
      </c>
      <c r="F137" s="111" t="s">
        <v>51</v>
      </c>
      <c r="G137" s="111">
        <v>2</v>
      </c>
      <c r="H137" s="148">
        <v>14</v>
      </c>
      <c r="I137" s="148">
        <v>12</v>
      </c>
      <c r="J137" s="111">
        <f>H137-I137+G137</f>
        <v>4</v>
      </c>
      <c r="K137" s="149">
        <v>5194.0200000000004</v>
      </c>
      <c r="L137" s="117">
        <f>J137*K137</f>
        <v>20776.080000000002</v>
      </c>
      <c r="M137" s="117">
        <f t="shared" si="84"/>
        <v>3739.6944000000003</v>
      </c>
      <c r="N137" s="117">
        <f t="shared" si="85"/>
        <v>24515.774400000002</v>
      </c>
    </row>
    <row r="138" spans="2:41" ht="30" customHeight="1" x14ac:dyDescent="0.5">
      <c r="B138" s="121">
        <v>44550</v>
      </c>
      <c r="C138" s="122" t="s">
        <v>79</v>
      </c>
      <c r="D138" s="160">
        <v>45750</v>
      </c>
      <c r="E138" s="175" t="s">
        <v>446</v>
      </c>
      <c r="F138" s="111" t="s">
        <v>51</v>
      </c>
      <c r="G138" s="111">
        <v>3</v>
      </c>
      <c r="H138" s="148">
        <v>14</v>
      </c>
      <c r="I138" s="148">
        <v>8</v>
      </c>
      <c r="J138" s="111">
        <f t="shared" ref="J138:J139" si="86">H138-I138+G138</f>
        <v>9</v>
      </c>
      <c r="K138" s="149">
        <v>5194.0200000000004</v>
      </c>
      <c r="L138" s="117">
        <f>J138*K138</f>
        <v>46746.180000000008</v>
      </c>
      <c r="M138" s="117">
        <f t="shared" si="84"/>
        <v>8414.3124000000007</v>
      </c>
      <c r="N138" s="117">
        <f t="shared" si="85"/>
        <v>55160.49240000001</v>
      </c>
    </row>
    <row r="139" spans="2:41" ht="23.25" customHeight="1" x14ac:dyDescent="0.5">
      <c r="B139" s="121">
        <v>44550</v>
      </c>
      <c r="C139" s="122" t="s">
        <v>81</v>
      </c>
      <c r="D139" s="160">
        <v>45750</v>
      </c>
      <c r="E139" s="251" t="s">
        <v>342</v>
      </c>
      <c r="F139" s="111" t="s">
        <v>51</v>
      </c>
      <c r="G139" s="111">
        <v>10</v>
      </c>
      <c r="H139" s="148">
        <v>14</v>
      </c>
      <c r="I139" s="148">
        <v>19</v>
      </c>
      <c r="J139" s="111">
        <f t="shared" si="86"/>
        <v>5</v>
      </c>
      <c r="K139" s="149">
        <v>4206.6099999999997</v>
      </c>
      <c r="L139" s="117">
        <f>J139*K139</f>
        <v>21033.05</v>
      </c>
      <c r="M139" s="117">
        <f>L139*18%</f>
        <v>3785.9489999999996</v>
      </c>
      <c r="N139" s="117">
        <f>L139+M139</f>
        <v>24818.999</v>
      </c>
    </row>
    <row r="140" spans="2:41" ht="11.25" customHeight="1" x14ac:dyDescent="0.5">
      <c r="B140" s="121"/>
      <c r="C140" s="122"/>
      <c r="D140" s="160"/>
      <c r="E140" s="175"/>
      <c r="F140" s="111"/>
      <c r="G140" s="111"/>
      <c r="H140" s="148"/>
      <c r="I140" s="148"/>
      <c r="J140" s="111"/>
      <c r="K140" s="149"/>
      <c r="L140" s="117"/>
      <c r="M140" s="117"/>
      <c r="N140" s="117"/>
    </row>
    <row r="141" spans="2:41" ht="30" customHeight="1" x14ac:dyDescent="0.5">
      <c r="B141" s="121">
        <v>44550</v>
      </c>
      <c r="C141" s="122" t="s">
        <v>83</v>
      </c>
      <c r="D141" s="160">
        <v>44550</v>
      </c>
      <c r="E141" s="175" t="s">
        <v>399</v>
      </c>
      <c r="F141" s="140" t="s">
        <v>51</v>
      </c>
      <c r="G141" s="140">
        <v>0</v>
      </c>
      <c r="H141" s="127">
        <v>0</v>
      </c>
      <c r="I141" s="127">
        <v>0</v>
      </c>
      <c r="J141" s="111">
        <f t="shared" ref="J141:J144" si="87">H141-I141</f>
        <v>0</v>
      </c>
      <c r="K141" s="128">
        <v>1962.92</v>
      </c>
      <c r="L141" s="141">
        <f>K141*J141</f>
        <v>0</v>
      </c>
      <c r="M141" s="141">
        <f t="shared" si="84"/>
        <v>0</v>
      </c>
      <c r="N141" s="141">
        <f t="shared" si="85"/>
        <v>0</v>
      </c>
    </row>
    <row r="142" spans="2:41" ht="26.25" customHeight="1" x14ac:dyDescent="0.5">
      <c r="B142" s="121">
        <v>44550</v>
      </c>
      <c r="C142" s="122" t="s">
        <v>83</v>
      </c>
      <c r="D142" s="160">
        <v>44550</v>
      </c>
      <c r="E142" s="175" t="s">
        <v>279</v>
      </c>
      <c r="F142" s="111" t="s">
        <v>51</v>
      </c>
      <c r="G142" s="111">
        <v>0</v>
      </c>
      <c r="H142" s="148">
        <v>0</v>
      </c>
      <c r="I142" s="148">
        <v>0</v>
      </c>
      <c r="J142" s="111">
        <f t="shared" si="87"/>
        <v>0</v>
      </c>
      <c r="K142" s="149">
        <v>1904.04</v>
      </c>
      <c r="L142" s="117">
        <f>J142*K142</f>
        <v>0</v>
      </c>
      <c r="M142" s="117">
        <f t="shared" si="84"/>
        <v>0</v>
      </c>
      <c r="N142" s="117">
        <f t="shared" si="85"/>
        <v>0</v>
      </c>
    </row>
    <row r="143" spans="2:41" ht="28.5" customHeight="1" x14ac:dyDescent="0.5">
      <c r="B143" s="121">
        <v>44550</v>
      </c>
      <c r="C143" s="122" t="s">
        <v>84</v>
      </c>
      <c r="D143" s="160">
        <v>44550</v>
      </c>
      <c r="E143" s="175" t="s">
        <v>280</v>
      </c>
      <c r="F143" s="111" t="s">
        <v>51</v>
      </c>
      <c r="G143" s="111">
        <v>0</v>
      </c>
      <c r="H143" s="148">
        <v>0</v>
      </c>
      <c r="I143" s="148">
        <v>0</v>
      </c>
      <c r="J143" s="111">
        <f t="shared" si="87"/>
        <v>0</v>
      </c>
      <c r="K143" s="149">
        <v>1962.92</v>
      </c>
      <c r="L143" s="117">
        <f>J143*K143</f>
        <v>0</v>
      </c>
      <c r="M143" s="117">
        <f t="shared" si="84"/>
        <v>0</v>
      </c>
      <c r="N143" s="117">
        <f t="shared" si="85"/>
        <v>0</v>
      </c>
    </row>
    <row r="144" spans="2:41" ht="26.25" customHeight="1" x14ac:dyDescent="0.5">
      <c r="B144" s="121">
        <v>44550</v>
      </c>
      <c r="C144" s="122" t="s">
        <v>85</v>
      </c>
      <c r="D144" s="160">
        <v>44550</v>
      </c>
      <c r="E144" s="175" t="s">
        <v>281</v>
      </c>
      <c r="F144" s="111" t="s">
        <v>51</v>
      </c>
      <c r="G144" s="111">
        <v>0</v>
      </c>
      <c r="H144" s="148">
        <v>0</v>
      </c>
      <c r="I144" s="148">
        <v>0</v>
      </c>
      <c r="J144" s="111">
        <f t="shared" si="87"/>
        <v>0</v>
      </c>
      <c r="K144" s="149">
        <v>3825.02</v>
      </c>
      <c r="L144" s="117">
        <f>J144*K144</f>
        <v>0</v>
      </c>
      <c r="M144" s="117">
        <f t="shared" si="84"/>
        <v>0</v>
      </c>
      <c r="N144" s="117">
        <f t="shared" si="85"/>
        <v>0</v>
      </c>
    </row>
    <row r="145" spans="2:14" ht="11.25" customHeight="1" x14ac:dyDescent="0.5">
      <c r="B145" s="140"/>
      <c r="C145" s="136"/>
      <c r="D145" s="215"/>
      <c r="E145" s="179"/>
      <c r="F145" s="140"/>
      <c r="G145" s="140"/>
      <c r="H145" s="140"/>
      <c r="I145" s="140"/>
      <c r="J145" s="140"/>
      <c r="K145" s="141"/>
      <c r="L145" s="141"/>
      <c r="M145" s="141"/>
      <c r="N145" s="141"/>
    </row>
    <row r="146" spans="2:14" ht="30" customHeight="1" x14ac:dyDescent="0.5">
      <c r="B146" s="121">
        <v>44550</v>
      </c>
      <c r="C146" s="122" t="s">
        <v>81</v>
      </c>
      <c r="D146" s="160">
        <v>44550</v>
      </c>
      <c r="E146" s="273" t="s">
        <v>304</v>
      </c>
      <c r="F146" s="111" t="s">
        <v>51</v>
      </c>
      <c r="G146" s="111">
        <v>2</v>
      </c>
      <c r="H146" s="148">
        <v>5</v>
      </c>
      <c r="I146" s="148">
        <v>1</v>
      </c>
      <c r="J146" s="148">
        <f t="shared" ref="J146:J154" si="88">H146-I146</f>
        <v>4</v>
      </c>
      <c r="K146" s="149">
        <v>5766.95</v>
      </c>
      <c r="L146" s="117">
        <f>J146*K146</f>
        <v>23067.8</v>
      </c>
      <c r="M146" s="117">
        <f>L146*18%</f>
        <v>4152.2039999999997</v>
      </c>
      <c r="N146" s="117">
        <f>L146+M146</f>
        <v>27220.004000000001</v>
      </c>
    </row>
    <row r="147" spans="2:14" ht="25.5" customHeight="1" x14ac:dyDescent="0.5">
      <c r="B147" s="121">
        <v>44550</v>
      </c>
      <c r="C147" s="122" t="s">
        <v>81</v>
      </c>
      <c r="D147" s="160">
        <v>44550</v>
      </c>
      <c r="E147" s="251" t="s">
        <v>305</v>
      </c>
      <c r="F147" s="111" t="s">
        <v>51</v>
      </c>
      <c r="G147" s="111">
        <v>1</v>
      </c>
      <c r="H147" s="148">
        <v>4</v>
      </c>
      <c r="I147" s="148">
        <v>2</v>
      </c>
      <c r="J147" s="148">
        <f t="shared" si="88"/>
        <v>2</v>
      </c>
      <c r="K147" s="149">
        <v>4943.1000000000004</v>
      </c>
      <c r="L147" s="117">
        <f>J147*K147</f>
        <v>9886.2000000000007</v>
      </c>
      <c r="M147" s="117">
        <f>L147*18%</f>
        <v>1779.5160000000001</v>
      </c>
      <c r="N147" s="117">
        <f>L147+M147</f>
        <v>11665.716</v>
      </c>
    </row>
    <row r="148" spans="2:14" ht="27.75" customHeight="1" x14ac:dyDescent="0.5">
      <c r="B148" s="121">
        <v>44550</v>
      </c>
      <c r="C148" s="122" t="s">
        <v>81</v>
      </c>
      <c r="D148" s="160">
        <v>44550</v>
      </c>
      <c r="E148" s="251" t="s">
        <v>306</v>
      </c>
      <c r="F148" s="111" t="s">
        <v>51</v>
      </c>
      <c r="G148" s="111">
        <v>3</v>
      </c>
      <c r="H148" s="148">
        <v>6</v>
      </c>
      <c r="I148" s="148">
        <v>3</v>
      </c>
      <c r="J148" s="148">
        <f t="shared" si="88"/>
        <v>3</v>
      </c>
      <c r="K148" s="149">
        <v>4943.1000000000004</v>
      </c>
      <c r="L148" s="117">
        <f>J148*K148</f>
        <v>14829.300000000001</v>
      </c>
      <c r="M148" s="117">
        <f>L148*18%</f>
        <v>2669.2739999999999</v>
      </c>
      <c r="N148" s="117">
        <f>L148+M148</f>
        <v>17498.574000000001</v>
      </c>
    </row>
    <row r="149" spans="2:14" ht="25.5" customHeight="1" x14ac:dyDescent="0.5">
      <c r="B149" s="121">
        <v>44550</v>
      </c>
      <c r="C149" s="122" t="s">
        <v>81</v>
      </c>
      <c r="D149" s="160">
        <v>44550</v>
      </c>
      <c r="E149" s="274" t="s">
        <v>307</v>
      </c>
      <c r="F149" s="111" t="s">
        <v>51</v>
      </c>
      <c r="G149" s="111">
        <v>1</v>
      </c>
      <c r="H149" s="148">
        <v>4</v>
      </c>
      <c r="I149" s="148">
        <v>1</v>
      </c>
      <c r="J149" s="148">
        <f t="shared" si="88"/>
        <v>3</v>
      </c>
      <c r="K149" s="149">
        <v>3886.1</v>
      </c>
      <c r="L149" s="117">
        <f>J149*K149</f>
        <v>11658.3</v>
      </c>
      <c r="M149" s="117">
        <f>L149*18%</f>
        <v>2098.4939999999997</v>
      </c>
      <c r="N149" s="117">
        <f>L149+M149</f>
        <v>13756.793999999998</v>
      </c>
    </row>
    <row r="150" spans="2:14" ht="10.5" customHeight="1" x14ac:dyDescent="0.5">
      <c r="B150" s="121"/>
      <c r="C150" s="122"/>
      <c r="D150" s="160"/>
      <c r="E150" s="177"/>
      <c r="F150" s="111"/>
      <c r="G150" s="111"/>
      <c r="H150" s="148"/>
      <c r="I150" s="148"/>
      <c r="J150" s="148"/>
      <c r="K150" s="149"/>
      <c r="L150" s="117"/>
      <c r="M150" s="117"/>
      <c r="N150" s="117"/>
    </row>
    <row r="151" spans="2:14" ht="27" customHeight="1" x14ac:dyDescent="0.5">
      <c r="B151" s="121">
        <v>44550</v>
      </c>
      <c r="C151" s="124" t="s">
        <v>82</v>
      </c>
      <c r="D151" s="160">
        <v>44550</v>
      </c>
      <c r="E151" s="178" t="s">
        <v>282</v>
      </c>
      <c r="F151" s="127" t="str">
        <f>F149</f>
        <v>UNID.</v>
      </c>
      <c r="G151" s="127">
        <v>0</v>
      </c>
      <c r="H151" s="127">
        <v>2</v>
      </c>
      <c r="I151" s="127">
        <v>2</v>
      </c>
      <c r="J151" s="127">
        <f t="shared" si="88"/>
        <v>0</v>
      </c>
      <c r="K151" s="128">
        <v>3300.39</v>
      </c>
      <c r="L151" s="117">
        <f t="shared" ref="L151:L154" si="89">J151*K151</f>
        <v>0</v>
      </c>
      <c r="M151" s="117">
        <f t="shared" ref="M151:M154" si="90">L151*18%</f>
        <v>0</v>
      </c>
      <c r="N151" s="117">
        <f t="shared" ref="N151:N154" si="91">L151+M151</f>
        <v>0</v>
      </c>
    </row>
    <row r="152" spans="2:14" ht="26.25" customHeight="1" x14ac:dyDescent="0.5">
      <c r="B152" s="121">
        <v>44550</v>
      </c>
      <c r="C152" s="144" t="s">
        <v>82</v>
      </c>
      <c r="D152" s="160">
        <v>44550</v>
      </c>
      <c r="E152" s="244" t="s">
        <v>283</v>
      </c>
      <c r="F152" s="148" t="str">
        <f>F151</f>
        <v>UNID.</v>
      </c>
      <c r="G152" s="148">
        <v>0</v>
      </c>
      <c r="H152" s="148">
        <v>2</v>
      </c>
      <c r="I152" s="148">
        <v>2</v>
      </c>
      <c r="J152" s="148">
        <f t="shared" si="88"/>
        <v>0</v>
      </c>
      <c r="K152" s="149">
        <v>2503.62</v>
      </c>
      <c r="L152" s="117">
        <f t="shared" si="89"/>
        <v>0</v>
      </c>
      <c r="M152" s="117">
        <f t="shared" si="90"/>
        <v>0</v>
      </c>
      <c r="N152" s="117">
        <f t="shared" si="91"/>
        <v>0</v>
      </c>
    </row>
    <row r="153" spans="2:14" ht="23.25" customHeight="1" x14ac:dyDescent="0.5">
      <c r="B153" s="121">
        <v>44550</v>
      </c>
      <c r="C153" s="144" t="s">
        <v>284</v>
      </c>
      <c r="D153" s="160">
        <v>44550</v>
      </c>
      <c r="E153" s="244" t="s">
        <v>286</v>
      </c>
      <c r="F153" s="148" t="s">
        <v>51</v>
      </c>
      <c r="G153" s="148">
        <v>0</v>
      </c>
      <c r="H153" s="148">
        <v>2</v>
      </c>
      <c r="I153" s="148">
        <v>2</v>
      </c>
      <c r="J153" s="148">
        <f t="shared" si="88"/>
        <v>0</v>
      </c>
      <c r="K153" s="149">
        <v>2503.62</v>
      </c>
      <c r="L153" s="117">
        <f t="shared" si="89"/>
        <v>0</v>
      </c>
      <c r="M153" s="117">
        <f t="shared" si="90"/>
        <v>0</v>
      </c>
      <c r="N153" s="117">
        <f t="shared" si="91"/>
        <v>0</v>
      </c>
    </row>
    <row r="154" spans="2:14" ht="25.5" customHeight="1" x14ac:dyDescent="0.5">
      <c r="B154" s="121">
        <v>44550</v>
      </c>
      <c r="C154" s="124" t="s">
        <v>82</v>
      </c>
      <c r="D154" s="160">
        <v>44550</v>
      </c>
      <c r="E154" s="178" t="s">
        <v>285</v>
      </c>
      <c r="F154" s="127" t="str">
        <f>F152</f>
        <v>UNID.</v>
      </c>
      <c r="G154" s="127">
        <v>0</v>
      </c>
      <c r="H154" s="127">
        <v>2</v>
      </c>
      <c r="I154" s="127">
        <v>2</v>
      </c>
      <c r="J154" s="127">
        <f t="shared" si="88"/>
        <v>0</v>
      </c>
      <c r="K154" s="128">
        <v>2503.62</v>
      </c>
      <c r="L154" s="117">
        <f t="shared" si="89"/>
        <v>0</v>
      </c>
      <c r="M154" s="117">
        <f t="shared" si="90"/>
        <v>0</v>
      </c>
      <c r="N154" s="117">
        <f t="shared" si="91"/>
        <v>0</v>
      </c>
    </row>
    <row r="155" spans="2:14" ht="10.5" customHeight="1" x14ac:dyDescent="0.5">
      <c r="B155" s="140"/>
      <c r="C155" s="136"/>
      <c r="D155" s="215"/>
      <c r="E155" s="179"/>
      <c r="F155" s="140"/>
      <c r="G155" s="140"/>
      <c r="H155" s="140"/>
      <c r="I155" s="140"/>
      <c r="J155" s="140"/>
      <c r="K155" s="141"/>
      <c r="L155" s="141"/>
      <c r="M155" s="141"/>
      <c r="N155" s="141"/>
    </row>
    <row r="156" spans="2:14" ht="30" customHeight="1" x14ac:dyDescent="0.5">
      <c r="B156" s="121">
        <v>44550</v>
      </c>
      <c r="C156" s="124" t="s">
        <v>82</v>
      </c>
      <c r="D156" s="160">
        <v>44550</v>
      </c>
      <c r="E156" s="178" t="s">
        <v>308</v>
      </c>
      <c r="F156" s="127" t="str">
        <f>F154</f>
        <v>UNID.</v>
      </c>
      <c r="G156" s="127">
        <v>4</v>
      </c>
      <c r="H156" s="127">
        <v>6</v>
      </c>
      <c r="I156" s="127">
        <v>3</v>
      </c>
      <c r="J156" s="127">
        <f>H156-I156</f>
        <v>3</v>
      </c>
      <c r="K156" s="128">
        <v>3449.03</v>
      </c>
      <c r="L156" s="117">
        <f t="shared" ref="L156:L159" si="92">J156*K156</f>
        <v>10347.09</v>
      </c>
      <c r="M156" s="117">
        <f t="shared" ref="M156:M159" si="93">L156*18%</f>
        <v>1862.4762000000001</v>
      </c>
      <c r="N156" s="117">
        <f t="shared" ref="N156:N159" si="94">L156+M156</f>
        <v>12209.566200000001</v>
      </c>
    </row>
    <row r="157" spans="2:14" ht="27.75" customHeight="1" x14ac:dyDescent="0.5">
      <c r="B157" s="121">
        <v>44550</v>
      </c>
      <c r="C157" s="124" t="s">
        <v>82</v>
      </c>
      <c r="D157" s="160">
        <v>44550</v>
      </c>
      <c r="E157" s="178" t="s">
        <v>309</v>
      </c>
      <c r="F157" s="127" t="str">
        <f>F156</f>
        <v>UNID.</v>
      </c>
      <c r="G157" s="127">
        <v>2</v>
      </c>
      <c r="H157" s="127">
        <v>4</v>
      </c>
      <c r="I157" s="127">
        <v>1</v>
      </c>
      <c r="J157" s="127">
        <f>H157-I157</f>
        <v>3</v>
      </c>
      <c r="K157" s="128">
        <v>3431.9</v>
      </c>
      <c r="L157" s="117">
        <f t="shared" si="92"/>
        <v>10295.700000000001</v>
      </c>
      <c r="M157" s="117">
        <f t="shared" si="93"/>
        <v>1853.2260000000001</v>
      </c>
      <c r="N157" s="117">
        <f t="shared" si="94"/>
        <v>12148.926000000001</v>
      </c>
    </row>
    <row r="158" spans="2:14" ht="31.5" customHeight="1" x14ac:dyDescent="0.5">
      <c r="B158" s="121">
        <v>44550</v>
      </c>
      <c r="C158" s="124" t="s">
        <v>82</v>
      </c>
      <c r="D158" s="160">
        <v>44550</v>
      </c>
      <c r="E158" s="178" t="s">
        <v>310</v>
      </c>
      <c r="F158" s="127" t="s">
        <v>51</v>
      </c>
      <c r="G158" s="127">
        <v>3</v>
      </c>
      <c r="H158" s="127">
        <v>5</v>
      </c>
      <c r="I158" s="127">
        <v>2</v>
      </c>
      <c r="J158" s="127">
        <f>H158-I158</f>
        <v>3</v>
      </c>
      <c r="K158" s="128">
        <v>3326.98</v>
      </c>
      <c r="L158" s="117">
        <f t="shared" si="92"/>
        <v>9980.94</v>
      </c>
      <c r="M158" s="117">
        <f t="shared" si="93"/>
        <v>1796.5692000000001</v>
      </c>
      <c r="N158" s="117">
        <f t="shared" si="94"/>
        <v>11777.5092</v>
      </c>
    </row>
    <row r="159" spans="2:14" ht="30" customHeight="1" x14ac:dyDescent="0.5">
      <c r="B159" s="121">
        <v>44550</v>
      </c>
      <c r="C159" s="124" t="s">
        <v>82</v>
      </c>
      <c r="D159" s="160">
        <v>44550</v>
      </c>
      <c r="E159" s="178" t="s">
        <v>311</v>
      </c>
      <c r="F159" s="127" t="str">
        <f>F157</f>
        <v>UNID.</v>
      </c>
      <c r="G159" s="127">
        <v>5</v>
      </c>
      <c r="H159" s="127">
        <v>6</v>
      </c>
      <c r="I159" s="127">
        <v>3</v>
      </c>
      <c r="J159" s="127">
        <f>H159-I159</f>
        <v>3</v>
      </c>
      <c r="K159" s="128">
        <v>3431.9</v>
      </c>
      <c r="L159" s="117">
        <f t="shared" si="92"/>
        <v>10295.700000000001</v>
      </c>
      <c r="M159" s="117">
        <f t="shared" si="93"/>
        <v>1853.2260000000001</v>
      </c>
      <c r="N159" s="117">
        <f t="shared" si="94"/>
        <v>12148.926000000001</v>
      </c>
    </row>
    <row r="160" spans="2:14" s="90" customFormat="1" ht="25.5" customHeight="1" x14ac:dyDescent="0.5">
      <c r="B160" s="135">
        <v>44550</v>
      </c>
      <c r="C160" s="124" t="s">
        <v>82</v>
      </c>
      <c r="D160" s="265">
        <v>45757</v>
      </c>
      <c r="E160" s="178" t="s">
        <v>452</v>
      </c>
      <c r="F160" s="127" t="str">
        <f>F156</f>
        <v>UNID.</v>
      </c>
      <c r="G160" s="127">
        <v>0</v>
      </c>
      <c r="H160" s="127">
        <f>11+1</f>
        <v>12</v>
      </c>
      <c r="I160" s="127">
        <v>7</v>
      </c>
      <c r="J160" s="127">
        <f t="shared" ref="J160:J162" si="95">H160-I160</f>
        <v>5</v>
      </c>
      <c r="K160" s="128">
        <v>3372.66</v>
      </c>
      <c r="L160" s="141">
        <f>J160*K160</f>
        <v>16863.3</v>
      </c>
      <c r="M160" s="141">
        <f>L160*18%</f>
        <v>3035.3939999999998</v>
      </c>
      <c r="N160" s="141">
        <f t="shared" ref="N160:N163" si="96">L160+M160</f>
        <v>19898.694</v>
      </c>
    </row>
    <row r="161" spans="2:14" ht="28.5" customHeight="1" x14ac:dyDescent="0.5">
      <c r="B161" s="121">
        <v>44550</v>
      </c>
      <c r="C161" s="124" t="s">
        <v>82</v>
      </c>
      <c r="D161" s="160">
        <v>45750</v>
      </c>
      <c r="E161" s="178" t="s">
        <v>312</v>
      </c>
      <c r="F161" s="127" t="str">
        <f>F160</f>
        <v>UNID.</v>
      </c>
      <c r="G161" s="127">
        <v>1</v>
      </c>
      <c r="H161" s="127">
        <v>13</v>
      </c>
      <c r="I161" s="127">
        <v>5</v>
      </c>
      <c r="J161" s="127">
        <f t="shared" si="95"/>
        <v>8</v>
      </c>
      <c r="K161" s="128">
        <v>3372.66</v>
      </c>
      <c r="L161" s="141">
        <f t="shared" ref="L161:L163" si="97">J161*K161</f>
        <v>26981.279999999999</v>
      </c>
      <c r="M161" s="141">
        <f t="shared" ref="M161:M163" si="98">L161*18%</f>
        <v>4856.6304</v>
      </c>
      <c r="N161" s="141">
        <f t="shared" si="96"/>
        <v>31837.910400000001</v>
      </c>
    </row>
    <row r="162" spans="2:14" ht="30" customHeight="1" x14ac:dyDescent="0.5">
      <c r="B162" s="121">
        <v>44550</v>
      </c>
      <c r="C162" s="124" t="s">
        <v>82</v>
      </c>
      <c r="D162" s="160">
        <v>45750</v>
      </c>
      <c r="E162" s="178" t="s">
        <v>453</v>
      </c>
      <c r="F162" s="127" t="str">
        <f>F161</f>
        <v>UNID.</v>
      </c>
      <c r="G162" s="127">
        <v>0</v>
      </c>
      <c r="H162" s="127">
        <v>12</v>
      </c>
      <c r="I162" s="127">
        <v>4</v>
      </c>
      <c r="J162" s="127">
        <f t="shared" si="95"/>
        <v>8</v>
      </c>
      <c r="K162" s="128">
        <v>3372.66</v>
      </c>
      <c r="L162" s="141">
        <f t="shared" si="97"/>
        <v>26981.279999999999</v>
      </c>
      <c r="M162" s="141">
        <f t="shared" si="98"/>
        <v>4856.6304</v>
      </c>
      <c r="N162" s="141">
        <f t="shared" si="96"/>
        <v>31837.910400000001</v>
      </c>
    </row>
    <row r="163" spans="2:14" ht="26.25" customHeight="1" x14ac:dyDescent="0.5">
      <c r="B163" s="121">
        <v>44550</v>
      </c>
      <c r="C163" s="124" t="s">
        <v>82</v>
      </c>
      <c r="D163" s="160">
        <v>45750</v>
      </c>
      <c r="E163" s="178" t="s">
        <v>313</v>
      </c>
      <c r="F163" s="127" t="str">
        <f>F162</f>
        <v>UNID.</v>
      </c>
      <c r="G163" s="127">
        <v>0</v>
      </c>
      <c r="H163" s="127">
        <v>12</v>
      </c>
      <c r="I163" s="127">
        <v>5</v>
      </c>
      <c r="J163" s="127">
        <f>H163-I163</f>
        <v>7</v>
      </c>
      <c r="K163" s="128">
        <v>3048.59</v>
      </c>
      <c r="L163" s="141">
        <f t="shared" si="97"/>
        <v>21340.13</v>
      </c>
      <c r="M163" s="141">
        <f t="shared" si="98"/>
        <v>3841.2233999999999</v>
      </c>
      <c r="N163" s="141">
        <f t="shared" si="96"/>
        <v>25181.3534</v>
      </c>
    </row>
    <row r="164" spans="2:14" ht="10.5" customHeight="1" x14ac:dyDescent="0.5">
      <c r="B164" s="121"/>
      <c r="C164" s="124"/>
      <c r="D164" s="160"/>
      <c r="E164" s="178"/>
      <c r="F164" s="127"/>
      <c r="G164" s="127"/>
      <c r="H164" s="127"/>
      <c r="I164" s="127"/>
      <c r="J164" s="127"/>
      <c r="K164" s="128"/>
      <c r="L164" s="117"/>
      <c r="M164" s="117"/>
      <c r="N164" s="117"/>
    </row>
    <row r="165" spans="2:14" ht="30" customHeight="1" x14ac:dyDescent="0.5">
      <c r="B165" s="121">
        <v>44423</v>
      </c>
      <c r="C165" s="144" t="s">
        <v>82</v>
      </c>
      <c r="D165" s="160">
        <v>45750</v>
      </c>
      <c r="E165" s="272" t="s">
        <v>387</v>
      </c>
      <c r="F165" s="148" t="s">
        <v>51</v>
      </c>
      <c r="G165" s="148">
        <v>0</v>
      </c>
      <c r="H165" s="148">
        <v>4</v>
      </c>
      <c r="I165" s="148">
        <f>1+1</f>
        <v>2</v>
      </c>
      <c r="J165" s="148">
        <f>H165+G165-I165</f>
        <v>2</v>
      </c>
      <c r="K165" s="149">
        <v>3943</v>
      </c>
      <c r="L165" s="117">
        <f>J165*K165</f>
        <v>7886</v>
      </c>
      <c r="M165" s="117">
        <v>2838.96</v>
      </c>
      <c r="N165" s="117">
        <f>L165+M165</f>
        <v>10724.96</v>
      </c>
    </row>
    <row r="166" spans="2:14" ht="29.25" customHeight="1" x14ac:dyDescent="0.5">
      <c r="B166" s="121">
        <v>44550</v>
      </c>
      <c r="C166" s="144" t="s">
        <v>82</v>
      </c>
      <c r="D166" s="160">
        <v>44550</v>
      </c>
      <c r="E166" s="244" t="s">
        <v>287</v>
      </c>
      <c r="F166" s="148" t="s">
        <v>51</v>
      </c>
      <c r="G166" s="148">
        <v>0</v>
      </c>
      <c r="H166" s="148">
        <v>6</v>
      </c>
      <c r="I166" s="148">
        <v>6</v>
      </c>
      <c r="J166" s="148">
        <f>H166-I166</f>
        <v>0</v>
      </c>
      <c r="K166" s="149">
        <v>4349.84</v>
      </c>
      <c r="L166" s="117">
        <f t="shared" ref="L166:L168" si="99">J166*K166</f>
        <v>0</v>
      </c>
      <c r="M166" s="117">
        <f t="shared" ref="M166:M168" si="100">L166*18%</f>
        <v>0</v>
      </c>
      <c r="N166" s="117">
        <f t="shared" ref="N166:N168" si="101">L166+M166</f>
        <v>0</v>
      </c>
    </row>
    <row r="167" spans="2:14" ht="29.25" customHeight="1" x14ac:dyDescent="0.5">
      <c r="B167" s="121">
        <v>44550</v>
      </c>
      <c r="C167" s="124" t="s">
        <v>82</v>
      </c>
      <c r="D167" s="160">
        <v>44550</v>
      </c>
      <c r="E167" s="176" t="s">
        <v>288</v>
      </c>
      <c r="F167" s="140" t="s">
        <v>51</v>
      </c>
      <c r="G167" s="140">
        <v>0</v>
      </c>
      <c r="H167" s="127">
        <v>6</v>
      </c>
      <c r="I167" s="127">
        <v>4</v>
      </c>
      <c r="J167" s="127">
        <f>H167-I167</f>
        <v>2</v>
      </c>
      <c r="K167" s="128">
        <v>4284.17</v>
      </c>
      <c r="L167" s="117">
        <f>J167*K167</f>
        <v>8568.34</v>
      </c>
      <c r="M167" s="117">
        <f>L167*18%</f>
        <v>1542.3011999999999</v>
      </c>
      <c r="N167" s="117">
        <f t="shared" si="101"/>
        <v>10110.6412</v>
      </c>
    </row>
    <row r="168" spans="2:14" ht="30" customHeight="1" x14ac:dyDescent="0.5">
      <c r="B168" s="121">
        <v>44550</v>
      </c>
      <c r="C168" s="144" t="s">
        <v>82</v>
      </c>
      <c r="D168" s="160">
        <v>44550</v>
      </c>
      <c r="E168" s="244" t="s">
        <v>289</v>
      </c>
      <c r="F168" s="148" t="s">
        <v>51</v>
      </c>
      <c r="G168" s="148">
        <v>0</v>
      </c>
      <c r="H168" s="148">
        <v>6</v>
      </c>
      <c r="I168" s="148">
        <v>6</v>
      </c>
      <c r="J168" s="148">
        <f>H168-I168</f>
        <v>0</v>
      </c>
      <c r="K168" s="149">
        <v>4349.84</v>
      </c>
      <c r="L168" s="117">
        <f t="shared" si="99"/>
        <v>0</v>
      </c>
      <c r="M168" s="117">
        <f t="shared" si="100"/>
        <v>0</v>
      </c>
      <c r="N168" s="117">
        <f t="shared" si="101"/>
        <v>0</v>
      </c>
    </row>
    <row r="169" spans="2:14" ht="30" customHeight="1" x14ac:dyDescent="0.5">
      <c r="B169" s="121">
        <v>44550</v>
      </c>
      <c r="C169" s="124" t="s">
        <v>82</v>
      </c>
      <c r="D169" s="160">
        <v>44550</v>
      </c>
      <c r="E169" s="178" t="s">
        <v>290</v>
      </c>
      <c r="F169" s="127" t="s">
        <v>247</v>
      </c>
      <c r="G169" s="127">
        <v>0</v>
      </c>
      <c r="H169" s="127">
        <v>6</v>
      </c>
      <c r="I169" s="127">
        <v>6</v>
      </c>
      <c r="J169" s="127">
        <f t="shared" ref="J169" si="102">+H169-I169</f>
        <v>0</v>
      </c>
      <c r="K169" s="128">
        <v>4733.1400000000003</v>
      </c>
      <c r="L169" s="117">
        <f>J169*K169</f>
        <v>0</v>
      </c>
      <c r="M169" s="117">
        <f>L169*18%</f>
        <v>0</v>
      </c>
      <c r="N169" s="117">
        <f t="shared" ref="N169:N175" si="103">L169+M169</f>
        <v>0</v>
      </c>
    </row>
    <row r="170" spans="2:14" s="90" customFormat="1" ht="24.75" customHeight="1" x14ac:dyDescent="0.5">
      <c r="B170" s="135">
        <v>45750</v>
      </c>
      <c r="C170" s="124" t="s">
        <v>81</v>
      </c>
      <c r="D170" s="265">
        <v>45750</v>
      </c>
      <c r="E170" s="178" t="s">
        <v>427</v>
      </c>
      <c r="F170" s="127" t="s">
        <v>247</v>
      </c>
      <c r="G170" s="127">
        <v>0</v>
      </c>
      <c r="H170" s="127">
        <v>2</v>
      </c>
      <c r="I170" s="127">
        <v>1</v>
      </c>
      <c r="J170" s="127">
        <f>H170-I170</f>
        <v>1</v>
      </c>
      <c r="K170" s="128">
        <v>3771</v>
      </c>
      <c r="L170" s="141">
        <v>7542</v>
      </c>
      <c r="M170" s="141">
        <v>1357.56</v>
      </c>
      <c r="N170" s="141">
        <f t="shared" si="103"/>
        <v>8899.56</v>
      </c>
    </row>
    <row r="171" spans="2:14" ht="30" customHeight="1" x14ac:dyDescent="0.5">
      <c r="B171" s="121">
        <v>45750</v>
      </c>
      <c r="C171" s="124" t="s">
        <v>435</v>
      </c>
      <c r="D171" s="160">
        <v>45750</v>
      </c>
      <c r="E171" s="178" t="s">
        <v>429</v>
      </c>
      <c r="F171" s="127" t="s">
        <v>247</v>
      </c>
      <c r="G171" s="127">
        <v>0</v>
      </c>
      <c r="H171" s="127">
        <v>2</v>
      </c>
      <c r="I171" s="127">
        <v>0</v>
      </c>
      <c r="J171" s="127">
        <v>2</v>
      </c>
      <c r="K171" s="128">
        <v>3771</v>
      </c>
      <c r="L171" s="141">
        <v>7542</v>
      </c>
      <c r="M171" s="141">
        <v>1357.56</v>
      </c>
      <c r="N171" s="141">
        <f t="shared" si="103"/>
        <v>8899.56</v>
      </c>
    </row>
    <row r="172" spans="2:14" s="90" customFormat="1" ht="30" customHeight="1" x14ac:dyDescent="0.5">
      <c r="B172" s="135">
        <v>45750</v>
      </c>
      <c r="C172" s="124" t="s">
        <v>436</v>
      </c>
      <c r="D172" s="265">
        <v>45750</v>
      </c>
      <c r="E172" s="178" t="s">
        <v>430</v>
      </c>
      <c r="F172" s="127" t="s">
        <v>247</v>
      </c>
      <c r="G172" s="127">
        <v>0</v>
      </c>
      <c r="H172" s="127">
        <v>2</v>
      </c>
      <c r="I172" s="127">
        <v>1</v>
      </c>
      <c r="J172" s="127">
        <f>H172-I172</f>
        <v>1</v>
      </c>
      <c r="K172" s="128">
        <v>3771</v>
      </c>
      <c r="L172" s="141">
        <v>7542</v>
      </c>
      <c r="M172" s="141">
        <v>1357.56</v>
      </c>
      <c r="N172" s="141">
        <f t="shared" si="103"/>
        <v>8899.56</v>
      </c>
    </row>
    <row r="173" spans="2:14" ht="30" customHeight="1" x14ac:dyDescent="0.5">
      <c r="B173" s="121">
        <v>45750</v>
      </c>
      <c r="C173" s="124" t="s">
        <v>437</v>
      </c>
      <c r="D173" s="160">
        <v>45750</v>
      </c>
      <c r="E173" s="178" t="s">
        <v>428</v>
      </c>
      <c r="F173" s="127" t="s">
        <v>247</v>
      </c>
      <c r="G173" s="127">
        <v>0</v>
      </c>
      <c r="H173" s="127">
        <v>2</v>
      </c>
      <c r="I173" s="127">
        <v>0</v>
      </c>
      <c r="J173" s="127">
        <v>2</v>
      </c>
      <c r="K173" s="128">
        <v>3771</v>
      </c>
      <c r="L173" s="141">
        <v>7542</v>
      </c>
      <c r="M173" s="141">
        <v>1357.56</v>
      </c>
      <c r="N173" s="141">
        <f t="shared" si="103"/>
        <v>8899.56</v>
      </c>
    </row>
    <row r="174" spans="2:14" ht="30" customHeight="1" x14ac:dyDescent="0.5">
      <c r="B174" s="121">
        <v>45750</v>
      </c>
      <c r="C174" s="144" t="s">
        <v>438</v>
      </c>
      <c r="D174" s="160">
        <v>45831</v>
      </c>
      <c r="E174" s="244" t="s">
        <v>431</v>
      </c>
      <c r="F174" s="148" t="s">
        <v>247</v>
      </c>
      <c r="G174" s="148">
        <v>0</v>
      </c>
      <c r="H174" s="148">
        <f>2+5</f>
        <v>7</v>
      </c>
      <c r="I174" s="148">
        <v>2</v>
      </c>
      <c r="J174" s="148">
        <f t="shared" ref="J174:J181" si="104">H174-I174</f>
        <v>5</v>
      </c>
      <c r="K174" s="149">
        <v>4221</v>
      </c>
      <c r="L174" s="117">
        <v>8442</v>
      </c>
      <c r="M174" s="117">
        <v>1519.56</v>
      </c>
      <c r="N174" s="117">
        <f t="shared" si="103"/>
        <v>9961.56</v>
      </c>
    </row>
    <row r="175" spans="2:14" ht="30" customHeight="1" x14ac:dyDescent="0.5">
      <c r="B175" s="121">
        <v>45750</v>
      </c>
      <c r="C175" s="144" t="s">
        <v>439</v>
      </c>
      <c r="D175" s="160">
        <v>45831</v>
      </c>
      <c r="E175" s="244" t="s">
        <v>432</v>
      </c>
      <c r="F175" s="148" t="s">
        <v>247</v>
      </c>
      <c r="G175" s="148">
        <v>0</v>
      </c>
      <c r="H175" s="148">
        <f>5+2</f>
        <v>7</v>
      </c>
      <c r="I175" s="148">
        <v>1</v>
      </c>
      <c r="J175" s="148">
        <f t="shared" si="104"/>
        <v>6</v>
      </c>
      <c r="K175" s="149">
        <v>4221</v>
      </c>
      <c r="L175" s="117">
        <v>8442</v>
      </c>
      <c r="M175" s="117">
        <v>1519.56</v>
      </c>
      <c r="N175" s="117">
        <f t="shared" si="103"/>
        <v>9961.56</v>
      </c>
    </row>
    <row r="176" spans="2:14" ht="30" customHeight="1" x14ac:dyDescent="0.5">
      <c r="B176" s="121">
        <v>45750</v>
      </c>
      <c r="C176" s="144" t="s">
        <v>440</v>
      </c>
      <c r="D176" s="160">
        <v>45831</v>
      </c>
      <c r="E176" s="244" t="s">
        <v>433</v>
      </c>
      <c r="F176" s="148" t="s">
        <v>247</v>
      </c>
      <c r="G176" s="148">
        <v>0</v>
      </c>
      <c r="H176" s="148">
        <f>5+2</f>
        <v>7</v>
      </c>
      <c r="I176" s="148">
        <v>1</v>
      </c>
      <c r="J176" s="148">
        <f t="shared" si="104"/>
        <v>6</v>
      </c>
      <c r="K176" s="149">
        <v>4221</v>
      </c>
      <c r="L176" s="117">
        <v>8442</v>
      </c>
      <c r="M176" s="117">
        <v>1519.56</v>
      </c>
      <c r="N176" s="117">
        <f t="shared" ref="N176:N177" si="105">L176+M176</f>
        <v>9961.56</v>
      </c>
    </row>
    <row r="177" spans="2:34" ht="30" customHeight="1" x14ac:dyDescent="0.5">
      <c r="B177" s="121">
        <v>45750</v>
      </c>
      <c r="C177" s="144" t="s">
        <v>441</v>
      </c>
      <c r="D177" s="160">
        <v>45831</v>
      </c>
      <c r="E177" s="244" t="s">
        <v>434</v>
      </c>
      <c r="F177" s="148" t="s">
        <v>247</v>
      </c>
      <c r="G177" s="148">
        <v>0</v>
      </c>
      <c r="H177" s="148">
        <f>5+2</f>
        <v>7</v>
      </c>
      <c r="I177" s="148">
        <v>2</v>
      </c>
      <c r="J177" s="148">
        <f t="shared" si="104"/>
        <v>5</v>
      </c>
      <c r="K177" s="149">
        <v>4221</v>
      </c>
      <c r="L177" s="117">
        <v>8442</v>
      </c>
      <c r="M177" s="117">
        <v>1519.56</v>
      </c>
      <c r="N177" s="117">
        <f t="shared" si="105"/>
        <v>9961.56</v>
      </c>
    </row>
    <row r="178" spans="2:34" ht="24.75" customHeight="1" x14ac:dyDescent="0.5">
      <c r="B178" s="121">
        <v>45750</v>
      </c>
      <c r="C178" s="144" t="s">
        <v>442</v>
      </c>
      <c r="D178" s="160">
        <v>45814</v>
      </c>
      <c r="E178" s="244" t="s">
        <v>447</v>
      </c>
      <c r="F178" s="148" t="s">
        <v>247</v>
      </c>
      <c r="G178" s="148">
        <v>4</v>
      </c>
      <c r="H178" s="148">
        <f>4+7</f>
        <v>11</v>
      </c>
      <c r="I178" s="148">
        <f>2+1+1</f>
        <v>4</v>
      </c>
      <c r="J178" s="148">
        <f t="shared" si="104"/>
        <v>7</v>
      </c>
      <c r="K178" s="149">
        <v>2934</v>
      </c>
      <c r="L178" s="117">
        <v>11736</v>
      </c>
      <c r="M178" s="117">
        <f>L178*18%</f>
        <v>2112.48</v>
      </c>
      <c r="N178" s="117">
        <f>L178+M178</f>
        <v>13848.48</v>
      </c>
    </row>
    <row r="179" spans="2:34" ht="30" customHeight="1" x14ac:dyDescent="0.5">
      <c r="B179" s="121">
        <v>45750</v>
      </c>
      <c r="C179" s="124" t="s">
        <v>443</v>
      </c>
      <c r="D179" s="160">
        <v>45814</v>
      </c>
      <c r="E179" s="244" t="s">
        <v>448</v>
      </c>
      <c r="F179" s="148" t="s">
        <v>247</v>
      </c>
      <c r="G179" s="148">
        <v>4</v>
      </c>
      <c r="H179" s="148">
        <f>4+7</f>
        <v>11</v>
      </c>
      <c r="I179" s="148">
        <f>3+1+1</f>
        <v>5</v>
      </c>
      <c r="J179" s="148">
        <f t="shared" si="104"/>
        <v>6</v>
      </c>
      <c r="K179" s="149">
        <v>1877</v>
      </c>
      <c r="L179" s="117">
        <v>7508</v>
      </c>
      <c r="M179" s="117">
        <f>L179*18%</f>
        <v>1351.44</v>
      </c>
      <c r="N179" s="117">
        <f>L179+M179</f>
        <v>8859.44</v>
      </c>
    </row>
    <row r="180" spans="2:34" ht="30" customHeight="1" x14ac:dyDescent="0.5">
      <c r="B180" s="121">
        <v>45750</v>
      </c>
      <c r="C180" s="124" t="s">
        <v>444</v>
      </c>
      <c r="D180" s="160">
        <v>45814</v>
      </c>
      <c r="E180" s="244" t="s">
        <v>450</v>
      </c>
      <c r="F180" s="148" t="s">
        <v>247</v>
      </c>
      <c r="G180" s="148">
        <v>4</v>
      </c>
      <c r="H180" s="148">
        <f>4+7</f>
        <v>11</v>
      </c>
      <c r="I180" s="148">
        <f>3+1+1</f>
        <v>5</v>
      </c>
      <c r="J180" s="148">
        <f t="shared" si="104"/>
        <v>6</v>
      </c>
      <c r="K180" s="149">
        <v>1877</v>
      </c>
      <c r="L180" s="117">
        <v>7508</v>
      </c>
      <c r="M180" s="117">
        <f t="shared" ref="M180:M181" si="106">L180*18%</f>
        <v>1351.44</v>
      </c>
      <c r="N180" s="117">
        <f t="shared" ref="N180:N181" si="107">L180+M180</f>
        <v>8859.44</v>
      </c>
    </row>
    <row r="181" spans="2:34" ht="30" customHeight="1" x14ac:dyDescent="0.5">
      <c r="B181" s="121">
        <v>45750</v>
      </c>
      <c r="C181" s="144" t="s">
        <v>449</v>
      </c>
      <c r="D181" s="160">
        <v>45814</v>
      </c>
      <c r="E181" s="244" t="s">
        <v>451</v>
      </c>
      <c r="F181" s="148" t="s">
        <v>247</v>
      </c>
      <c r="G181" s="148">
        <v>4</v>
      </c>
      <c r="H181" s="148">
        <f>4+7</f>
        <v>11</v>
      </c>
      <c r="I181" s="148">
        <f>2+1+1+1</f>
        <v>5</v>
      </c>
      <c r="J181" s="148">
        <f t="shared" si="104"/>
        <v>6</v>
      </c>
      <c r="K181" s="149">
        <v>1877</v>
      </c>
      <c r="L181" s="117">
        <v>7508</v>
      </c>
      <c r="M181" s="117">
        <f t="shared" si="106"/>
        <v>1351.44</v>
      </c>
      <c r="N181" s="117">
        <f t="shared" si="107"/>
        <v>8859.44</v>
      </c>
    </row>
    <row r="182" spans="2:34" x14ac:dyDescent="0.5">
      <c r="B182" s="121">
        <v>44550</v>
      </c>
      <c r="C182" s="124" t="s">
        <v>82</v>
      </c>
      <c r="D182" s="115">
        <v>43217</v>
      </c>
      <c r="E182" s="179" t="s">
        <v>317</v>
      </c>
      <c r="F182" s="111" t="s">
        <v>51</v>
      </c>
      <c r="G182" s="111">
        <v>1</v>
      </c>
      <c r="H182" s="140">
        <v>1</v>
      </c>
      <c r="I182" s="140">
        <v>1</v>
      </c>
      <c r="J182" s="127">
        <f t="shared" ref="J182:J184" si="108">+H182-I182</f>
        <v>0</v>
      </c>
      <c r="K182" s="128">
        <v>3449.03</v>
      </c>
      <c r="L182" s="117">
        <f t="shared" ref="L182:L184" si="109">J182*K182</f>
        <v>0</v>
      </c>
      <c r="M182" s="117">
        <f t="shared" ref="M182:M184" si="110">L182*18%</f>
        <v>0</v>
      </c>
      <c r="N182" s="117">
        <f t="shared" ref="N182:N184" si="111">L182+M182</f>
        <v>0</v>
      </c>
    </row>
    <row r="183" spans="2:34" s="96" customFormat="1" x14ac:dyDescent="0.5">
      <c r="B183" s="121">
        <v>44550</v>
      </c>
      <c r="C183" s="124" t="s">
        <v>82</v>
      </c>
      <c r="D183" s="115">
        <v>43217</v>
      </c>
      <c r="E183" s="179" t="s">
        <v>318</v>
      </c>
      <c r="F183" s="111" t="s">
        <v>51</v>
      </c>
      <c r="G183" s="111">
        <v>2</v>
      </c>
      <c r="H183" s="111">
        <v>2</v>
      </c>
      <c r="I183" s="111">
        <v>2</v>
      </c>
      <c r="J183" s="127">
        <f t="shared" si="108"/>
        <v>0</v>
      </c>
      <c r="K183" s="128">
        <v>3449.03</v>
      </c>
      <c r="L183" s="117">
        <f t="shared" si="109"/>
        <v>0</v>
      </c>
      <c r="M183" s="117">
        <f t="shared" si="110"/>
        <v>0</v>
      </c>
      <c r="N183" s="117">
        <f t="shared" si="111"/>
        <v>0</v>
      </c>
      <c r="Q183" s="89"/>
      <c r="R183" s="89"/>
      <c r="S183" s="89"/>
      <c r="T183" s="89"/>
      <c r="U183" s="89"/>
      <c r="V183" s="89"/>
      <c r="W183" s="89"/>
      <c r="X183" s="89"/>
      <c r="Y183" s="89"/>
      <c r="Z183" s="89"/>
      <c r="AA183" s="89"/>
      <c r="AB183" s="89"/>
      <c r="AC183" s="89"/>
      <c r="AD183" s="89"/>
      <c r="AE183" s="89"/>
      <c r="AF183" s="89"/>
      <c r="AG183" s="89"/>
      <c r="AH183" s="89"/>
    </row>
    <row r="184" spans="2:34" s="96" customFormat="1" x14ac:dyDescent="0.5">
      <c r="B184" s="121">
        <v>44550</v>
      </c>
      <c r="C184" s="124" t="s">
        <v>82</v>
      </c>
      <c r="D184" s="115">
        <v>43217</v>
      </c>
      <c r="E184" s="179" t="s">
        <v>319</v>
      </c>
      <c r="F184" s="111" t="s">
        <v>51</v>
      </c>
      <c r="G184" s="111">
        <v>0</v>
      </c>
      <c r="H184" s="111">
        <v>0</v>
      </c>
      <c r="I184" s="111">
        <v>0</v>
      </c>
      <c r="J184" s="127">
        <f t="shared" si="108"/>
        <v>0</v>
      </c>
      <c r="K184" s="128">
        <v>3449.03</v>
      </c>
      <c r="L184" s="117">
        <f t="shared" si="109"/>
        <v>0</v>
      </c>
      <c r="M184" s="117">
        <f t="shared" si="110"/>
        <v>0</v>
      </c>
      <c r="N184" s="117">
        <f t="shared" si="111"/>
        <v>0</v>
      </c>
      <c r="Q184" s="89"/>
      <c r="R184" s="89"/>
      <c r="S184" s="89"/>
      <c r="T184" s="89"/>
      <c r="U184" s="89"/>
      <c r="V184" s="89"/>
      <c r="W184" s="89"/>
      <c r="X184" s="89"/>
      <c r="Y184" s="89"/>
      <c r="Z184" s="89"/>
      <c r="AA184" s="89"/>
      <c r="AB184" s="89"/>
      <c r="AC184" s="89"/>
      <c r="AD184" s="89"/>
      <c r="AE184" s="89"/>
      <c r="AF184" s="89"/>
      <c r="AG184" s="89"/>
      <c r="AH184" s="89"/>
    </row>
    <row r="185" spans="2:34" s="96" customFormat="1" ht="10.5" customHeight="1" x14ac:dyDescent="0.5">
      <c r="B185" s="121"/>
      <c r="C185" s="124"/>
      <c r="D185" s="115"/>
      <c r="E185" s="179"/>
      <c r="F185" s="111"/>
      <c r="G185" s="111"/>
      <c r="H185" s="111"/>
      <c r="I185" s="111"/>
      <c r="J185" s="127"/>
      <c r="K185" s="128"/>
      <c r="L185" s="117"/>
      <c r="M185" s="117"/>
      <c r="N185" s="117"/>
      <c r="Q185" s="89"/>
      <c r="R185" s="89"/>
      <c r="S185" s="89"/>
      <c r="T185" s="89"/>
      <c r="U185" s="89"/>
      <c r="V185" s="89"/>
      <c r="W185" s="89"/>
      <c r="X185" s="89"/>
      <c r="Y185" s="89"/>
      <c r="Z185" s="89"/>
      <c r="AA185" s="89"/>
      <c r="AB185" s="89"/>
      <c r="AC185" s="89"/>
      <c r="AD185" s="89"/>
      <c r="AE185" s="89"/>
      <c r="AF185" s="89"/>
      <c r="AG185" s="89"/>
      <c r="AH185" s="89"/>
    </row>
    <row r="186" spans="2:34" s="96" customFormat="1" x14ac:dyDescent="0.5">
      <c r="B186" s="121">
        <v>44550</v>
      </c>
      <c r="C186" s="124" t="s">
        <v>82</v>
      </c>
      <c r="D186" s="115">
        <v>43217</v>
      </c>
      <c r="E186" s="179" t="s">
        <v>320</v>
      </c>
      <c r="F186" s="111" t="s">
        <v>51</v>
      </c>
      <c r="G186" s="111">
        <v>1</v>
      </c>
      <c r="H186" s="111">
        <v>0</v>
      </c>
      <c r="I186" s="111">
        <v>0</v>
      </c>
      <c r="J186" s="127">
        <f t="shared" ref="J186:J188" si="112">+H186-I186</f>
        <v>0</v>
      </c>
      <c r="K186" s="128">
        <v>3449.03</v>
      </c>
      <c r="L186" s="117">
        <f t="shared" ref="L186:L188" si="113">J186*K186</f>
        <v>0</v>
      </c>
      <c r="M186" s="117">
        <f t="shared" ref="M186:M188" si="114">L186*18%</f>
        <v>0</v>
      </c>
      <c r="N186" s="117">
        <f t="shared" ref="N186:N188" si="115">L186+M186</f>
        <v>0</v>
      </c>
      <c r="Q186" s="89"/>
      <c r="R186" s="89"/>
      <c r="S186" s="89"/>
      <c r="T186" s="89"/>
      <c r="U186" s="89"/>
      <c r="V186" s="89"/>
      <c r="W186" s="89"/>
      <c r="X186" s="89"/>
      <c r="Y186" s="89"/>
      <c r="Z186" s="89"/>
      <c r="AA186" s="89"/>
      <c r="AB186" s="89"/>
      <c r="AC186" s="89"/>
      <c r="AD186" s="89"/>
      <c r="AE186" s="89"/>
      <c r="AF186" s="89"/>
      <c r="AG186" s="89"/>
      <c r="AH186" s="89"/>
    </row>
    <row r="187" spans="2:34" s="89" customFormat="1" x14ac:dyDescent="0.5">
      <c r="B187" s="121">
        <v>44550</v>
      </c>
      <c r="C187" s="144" t="s">
        <v>82</v>
      </c>
      <c r="D187" s="115">
        <v>43217</v>
      </c>
      <c r="E187" s="245" t="s">
        <v>321</v>
      </c>
      <c r="F187" s="111" t="s">
        <v>51</v>
      </c>
      <c r="G187" s="111">
        <v>3</v>
      </c>
      <c r="H187" s="111">
        <v>3</v>
      </c>
      <c r="I187" s="111">
        <v>1</v>
      </c>
      <c r="J187" s="148">
        <f t="shared" si="112"/>
        <v>2</v>
      </c>
      <c r="K187" s="149">
        <v>3449.03</v>
      </c>
      <c r="L187" s="117">
        <f t="shared" si="113"/>
        <v>6898.06</v>
      </c>
      <c r="M187" s="117">
        <f t="shared" si="114"/>
        <v>1241.6508000000001</v>
      </c>
      <c r="N187" s="117">
        <f t="shared" si="115"/>
        <v>8139.7108000000007</v>
      </c>
    </row>
    <row r="188" spans="2:34" s="90" customFormat="1" x14ac:dyDescent="0.5">
      <c r="B188" s="121">
        <v>44550</v>
      </c>
      <c r="C188" s="124" t="s">
        <v>82</v>
      </c>
      <c r="D188" s="115">
        <v>43217</v>
      </c>
      <c r="E188" s="179" t="s">
        <v>322</v>
      </c>
      <c r="F188" s="111" t="s">
        <v>51</v>
      </c>
      <c r="G188" s="111">
        <v>0</v>
      </c>
      <c r="H188" s="111">
        <v>0</v>
      </c>
      <c r="I188" s="111">
        <v>0</v>
      </c>
      <c r="J188" s="127">
        <f t="shared" si="112"/>
        <v>0</v>
      </c>
      <c r="K188" s="128">
        <v>3449.03</v>
      </c>
      <c r="L188" s="117">
        <f t="shared" si="113"/>
        <v>0</v>
      </c>
      <c r="M188" s="117">
        <f t="shared" si="114"/>
        <v>0</v>
      </c>
      <c r="N188" s="117">
        <f t="shared" si="115"/>
        <v>0</v>
      </c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</row>
    <row r="189" spans="2:34" x14ac:dyDescent="0.5">
      <c r="B189" s="223">
        <v>44550</v>
      </c>
      <c r="C189" s="224" t="s">
        <v>82</v>
      </c>
      <c r="D189" s="225">
        <v>43217</v>
      </c>
      <c r="E189" s="250" t="s">
        <v>323</v>
      </c>
      <c r="F189" s="188" t="s">
        <v>51</v>
      </c>
      <c r="G189" s="188">
        <v>4</v>
      </c>
      <c r="H189" s="188">
        <v>4</v>
      </c>
      <c r="I189" s="188">
        <v>0</v>
      </c>
      <c r="J189" s="188">
        <f>+H189-I189</f>
        <v>4</v>
      </c>
      <c r="K189" s="189">
        <v>3449.03</v>
      </c>
      <c r="L189" s="189">
        <f>J189*K189</f>
        <v>13796.12</v>
      </c>
      <c r="M189" s="189">
        <f>L189*18%</f>
        <v>2483.3016000000002</v>
      </c>
      <c r="N189" s="189">
        <f>L189+M189</f>
        <v>16279.421600000001</v>
      </c>
    </row>
    <row r="190" spans="2:34" s="96" customFormat="1" ht="11.25" customHeight="1" x14ac:dyDescent="0.5">
      <c r="B190" s="216"/>
      <c r="C190" s="216"/>
      <c r="D190" s="216"/>
      <c r="E190" s="216"/>
      <c r="F190" s="216"/>
      <c r="G190" s="216"/>
      <c r="H190" s="216"/>
      <c r="I190" s="216"/>
      <c r="J190" s="216"/>
      <c r="K190" s="216"/>
      <c r="L190" s="216"/>
      <c r="M190" s="216"/>
      <c r="N190" s="216"/>
      <c r="Q190" s="89"/>
      <c r="R190" s="89"/>
      <c r="S190" s="89"/>
      <c r="T190" s="89"/>
      <c r="U190" s="89"/>
      <c r="V190" s="89"/>
      <c r="W190" s="89"/>
      <c r="X190" s="89"/>
      <c r="Y190" s="89"/>
      <c r="Z190" s="89"/>
      <c r="AA190" s="89"/>
      <c r="AB190" s="89"/>
      <c r="AC190" s="89"/>
      <c r="AD190" s="89"/>
      <c r="AE190" s="89"/>
      <c r="AF190" s="89"/>
      <c r="AG190" s="89"/>
      <c r="AH190" s="89"/>
    </row>
    <row r="191" spans="2:34" s="89" customFormat="1" ht="32.25" customHeight="1" x14ac:dyDescent="0.5">
      <c r="B191" s="121">
        <v>44550</v>
      </c>
      <c r="C191" s="122" t="s">
        <v>86</v>
      </c>
      <c r="D191" s="115" t="s">
        <v>80</v>
      </c>
      <c r="E191" s="245" t="s">
        <v>330</v>
      </c>
      <c r="F191" s="111" t="s">
        <v>51</v>
      </c>
      <c r="G191" s="111">
        <v>1</v>
      </c>
      <c r="H191" s="111">
        <v>1</v>
      </c>
      <c r="I191" s="111">
        <v>1</v>
      </c>
      <c r="J191" s="111">
        <f t="shared" ref="J191:J194" si="116">H191-I191</f>
        <v>0</v>
      </c>
      <c r="K191" s="117">
        <v>1570</v>
      </c>
      <c r="L191" s="117">
        <f t="shared" ref="L191:L194" si="117">J191*K191</f>
        <v>0</v>
      </c>
      <c r="M191" s="117">
        <f t="shared" ref="M191:M204" si="118">L191*18%</f>
        <v>0</v>
      </c>
      <c r="N191" s="117">
        <f t="shared" ref="N191:N194" si="119">L191+M191</f>
        <v>0</v>
      </c>
    </row>
    <row r="192" spans="2:34" s="89" customFormat="1" ht="29.25" customHeight="1" x14ac:dyDescent="0.5">
      <c r="B192" s="121">
        <v>44550</v>
      </c>
      <c r="C192" s="122" t="s">
        <v>87</v>
      </c>
      <c r="D192" s="115" t="s">
        <v>80</v>
      </c>
      <c r="E192" s="245" t="s">
        <v>331</v>
      </c>
      <c r="F192" s="111" t="s">
        <v>51</v>
      </c>
      <c r="G192" s="111">
        <v>1</v>
      </c>
      <c r="H192" s="111">
        <v>1</v>
      </c>
      <c r="I192" s="111">
        <v>0</v>
      </c>
      <c r="J192" s="111">
        <f t="shared" si="116"/>
        <v>1</v>
      </c>
      <c r="K192" s="117">
        <v>1840</v>
      </c>
      <c r="L192" s="117">
        <f t="shared" si="117"/>
        <v>1840</v>
      </c>
      <c r="M192" s="117">
        <f t="shared" si="118"/>
        <v>331.2</v>
      </c>
      <c r="N192" s="117">
        <f t="shared" si="119"/>
        <v>2171.1999999999998</v>
      </c>
    </row>
    <row r="193" spans="2:34" s="96" customFormat="1" ht="30" customHeight="1" x14ac:dyDescent="0.5">
      <c r="B193" s="121">
        <v>44550</v>
      </c>
      <c r="C193" s="122" t="s">
        <v>86</v>
      </c>
      <c r="D193" s="115" t="s">
        <v>80</v>
      </c>
      <c r="E193" s="179" t="s">
        <v>332</v>
      </c>
      <c r="F193" s="111" t="s">
        <v>51</v>
      </c>
      <c r="G193" s="111">
        <v>0</v>
      </c>
      <c r="H193" s="111">
        <v>0</v>
      </c>
      <c r="I193" s="111">
        <v>0</v>
      </c>
      <c r="J193" s="111">
        <f t="shared" si="116"/>
        <v>0</v>
      </c>
      <c r="K193" s="117">
        <v>1570</v>
      </c>
      <c r="L193" s="117">
        <f t="shared" si="117"/>
        <v>0</v>
      </c>
      <c r="M193" s="117">
        <f t="shared" si="118"/>
        <v>0</v>
      </c>
      <c r="N193" s="117">
        <f t="shared" si="119"/>
        <v>0</v>
      </c>
      <c r="Q193" s="89"/>
      <c r="R193" s="89"/>
      <c r="S193" s="89"/>
      <c r="T193" s="89"/>
      <c r="U193" s="89"/>
      <c r="V193" s="89"/>
      <c r="W193" s="89"/>
      <c r="X193" s="89"/>
      <c r="Y193" s="89"/>
      <c r="Z193" s="89"/>
      <c r="AA193" s="89"/>
      <c r="AB193" s="89"/>
      <c r="AC193" s="89"/>
      <c r="AD193" s="89"/>
      <c r="AE193" s="89"/>
      <c r="AF193" s="89"/>
      <c r="AG193" s="89"/>
      <c r="AH193" s="89"/>
    </row>
    <row r="194" spans="2:34" s="89" customFormat="1" ht="32.25" customHeight="1" x14ac:dyDescent="0.5">
      <c r="B194" s="121">
        <v>44550</v>
      </c>
      <c r="C194" s="122" t="s">
        <v>87</v>
      </c>
      <c r="D194" s="115" t="s">
        <v>80</v>
      </c>
      <c r="E194" s="245" t="s">
        <v>333</v>
      </c>
      <c r="F194" s="111" t="s">
        <v>51</v>
      </c>
      <c r="G194" s="111">
        <v>1</v>
      </c>
      <c r="H194" s="111">
        <v>1</v>
      </c>
      <c r="I194" s="111">
        <v>0</v>
      </c>
      <c r="J194" s="111">
        <f t="shared" si="116"/>
        <v>1</v>
      </c>
      <c r="K194" s="117">
        <v>1840</v>
      </c>
      <c r="L194" s="117">
        <f t="shared" si="117"/>
        <v>1840</v>
      </c>
      <c r="M194" s="117">
        <f t="shared" si="118"/>
        <v>331.2</v>
      </c>
      <c r="N194" s="117">
        <f t="shared" si="119"/>
        <v>2171.1999999999998</v>
      </c>
    </row>
    <row r="195" spans="2:34" s="96" customFormat="1" ht="10.5" customHeight="1" x14ac:dyDescent="0.5">
      <c r="B195" s="121"/>
      <c r="C195" s="122"/>
      <c r="D195" s="115"/>
      <c r="E195" s="179"/>
      <c r="F195" s="111"/>
      <c r="G195" s="111"/>
      <c r="H195" s="111"/>
      <c r="I195" s="111"/>
      <c r="J195" s="111"/>
      <c r="K195" s="117"/>
      <c r="L195" s="117"/>
      <c r="M195" s="117"/>
      <c r="N195" s="117"/>
      <c r="Q195" s="89"/>
      <c r="R195" s="89"/>
      <c r="S195" s="89"/>
      <c r="T195" s="89"/>
      <c r="U195" s="89"/>
      <c r="V195" s="89"/>
      <c r="W195" s="89"/>
      <c r="X195" s="89"/>
      <c r="Y195" s="89"/>
      <c r="Z195" s="89"/>
      <c r="AA195" s="89"/>
      <c r="AB195" s="89"/>
      <c r="AC195" s="89"/>
      <c r="AD195" s="89"/>
      <c r="AE195" s="89"/>
      <c r="AF195" s="89"/>
      <c r="AG195" s="89"/>
      <c r="AH195" s="89"/>
    </row>
    <row r="196" spans="2:34" s="89" customFormat="1" ht="35.25" customHeight="1" x14ac:dyDescent="0.5">
      <c r="B196" s="121">
        <v>44550</v>
      </c>
      <c r="C196" s="122" t="s">
        <v>86</v>
      </c>
      <c r="D196" s="115" t="s">
        <v>80</v>
      </c>
      <c r="E196" s="245" t="s">
        <v>334</v>
      </c>
      <c r="F196" s="111" t="s">
        <v>51</v>
      </c>
      <c r="G196" s="111">
        <v>4</v>
      </c>
      <c r="H196" s="111">
        <v>8</v>
      </c>
      <c r="I196" s="111">
        <v>0</v>
      </c>
      <c r="J196" s="111">
        <f t="shared" ref="J196:J199" si="120">H196-I196</f>
        <v>8</v>
      </c>
      <c r="K196" s="117">
        <v>1570</v>
      </c>
      <c r="L196" s="117">
        <f t="shared" ref="L196:L199" si="121">J196*K196</f>
        <v>12560</v>
      </c>
      <c r="M196" s="117">
        <f t="shared" si="118"/>
        <v>2260.7999999999997</v>
      </c>
      <c r="N196" s="117">
        <f t="shared" ref="N196:N199" si="122">L196+M196</f>
        <v>14820.8</v>
      </c>
    </row>
    <row r="197" spans="2:34" s="89" customFormat="1" ht="35.25" customHeight="1" x14ac:dyDescent="0.5">
      <c r="B197" s="121">
        <v>44550</v>
      </c>
      <c r="C197" s="122" t="s">
        <v>87</v>
      </c>
      <c r="D197" s="115" t="s">
        <v>80</v>
      </c>
      <c r="E197" s="245" t="s">
        <v>335</v>
      </c>
      <c r="F197" s="111" t="s">
        <v>51</v>
      </c>
      <c r="G197" s="111">
        <v>5</v>
      </c>
      <c r="H197" s="111">
        <v>9</v>
      </c>
      <c r="I197" s="111">
        <v>0</v>
      </c>
      <c r="J197" s="111">
        <f t="shared" si="120"/>
        <v>9</v>
      </c>
      <c r="K197" s="117">
        <v>1840</v>
      </c>
      <c r="L197" s="117">
        <f t="shared" si="121"/>
        <v>16560</v>
      </c>
      <c r="M197" s="117">
        <f t="shared" si="118"/>
        <v>2980.7999999999997</v>
      </c>
      <c r="N197" s="117">
        <f t="shared" si="122"/>
        <v>19540.8</v>
      </c>
    </row>
    <row r="198" spans="2:34" ht="33.75" customHeight="1" x14ac:dyDescent="0.5">
      <c r="B198" s="121">
        <v>44550</v>
      </c>
      <c r="C198" s="122" t="s">
        <v>86</v>
      </c>
      <c r="D198" s="115" t="s">
        <v>80</v>
      </c>
      <c r="E198" s="245" t="s">
        <v>336</v>
      </c>
      <c r="F198" s="111" t="s">
        <v>51</v>
      </c>
      <c r="G198" s="111">
        <v>5</v>
      </c>
      <c r="H198" s="111">
        <v>7</v>
      </c>
      <c r="I198" s="111">
        <v>0</v>
      </c>
      <c r="J198" s="111">
        <f t="shared" si="120"/>
        <v>7</v>
      </c>
      <c r="K198" s="117">
        <v>1570</v>
      </c>
      <c r="L198" s="117">
        <f t="shared" si="121"/>
        <v>10990</v>
      </c>
      <c r="M198" s="117">
        <f t="shared" si="118"/>
        <v>1978.1999999999998</v>
      </c>
      <c r="N198" s="117">
        <f t="shared" si="122"/>
        <v>12968.2</v>
      </c>
    </row>
    <row r="199" spans="2:34" ht="33.75" customHeight="1" x14ac:dyDescent="0.5">
      <c r="B199" s="121">
        <v>44550</v>
      </c>
      <c r="C199" s="122" t="s">
        <v>87</v>
      </c>
      <c r="D199" s="115" t="s">
        <v>80</v>
      </c>
      <c r="E199" s="245" t="s">
        <v>337</v>
      </c>
      <c r="F199" s="111" t="s">
        <v>51</v>
      </c>
      <c r="G199" s="111">
        <v>4</v>
      </c>
      <c r="H199" s="111">
        <v>6</v>
      </c>
      <c r="I199" s="111">
        <v>0</v>
      </c>
      <c r="J199" s="111">
        <f t="shared" si="120"/>
        <v>6</v>
      </c>
      <c r="K199" s="117">
        <v>1840</v>
      </c>
      <c r="L199" s="117">
        <f t="shared" si="121"/>
        <v>11040</v>
      </c>
      <c r="M199" s="117">
        <f t="shared" si="118"/>
        <v>1987.1999999999998</v>
      </c>
      <c r="N199" s="117">
        <f t="shared" si="122"/>
        <v>13027.2</v>
      </c>
    </row>
    <row r="200" spans="2:34" ht="10.5" customHeight="1" x14ac:dyDescent="0.5">
      <c r="B200" s="121"/>
      <c r="C200" s="122"/>
      <c r="D200" s="115"/>
      <c r="E200" s="179"/>
      <c r="F200" s="111"/>
      <c r="G200" s="111"/>
      <c r="H200" s="111"/>
      <c r="I200" s="111"/>
      <c r="J200" s="111"/>
      <c r="K200" s="117"/>
      <c r="L200" s="117"/>
      <c r="M200" s="117"/>
      <c r="N200" s="117"/>
    </row>
    <row r="201" spans="2:34" ht="35.25" customHeight="1" x14ac:dyDescent="0.5">
      <c r="B201" s="121">
        <v>44550</v>
      </c>
      <c r="C201" s="122" t="s">
        <v>86</v>
      </c>
      <c r="D201" s="115" t="s">
        <v>80</v>
      </c>
      <c r="E201" s="179" t="s">
        <v>338</v>
      </c>
      <c r="F201" s="111" t="s">
        <v>51</v>
      </c>
      <c r="G201" s="111">
        <v>0</v>
      </c>
      <c r="H201" s="111">
        <v>1</v>
      </c>
      <c r="I201" s="111">
        <v>1</v>
      </c>
      <c r="J201" s="111">
        <f t="shared" ref="J201:J204" si="123">H201-I201</f>
        <v>0</v>
      </c>
      <c r="K201" s="117">
        <v>1570</v>
      </c>
      <c r="L201" s="117">
        <f t="shared" ref="L201:L204" si="124">J201*K201</f>
        <v>0</v>
      </c>
      <c r="M201" s="117">
        <f t="shared" si="118"/>
        <v>0</v>
      </c>
      <c r="N201" s="117">
        <f t="shared" ref="N201:N204" si="125">L201+M201</f>
        <v>0</v>
      </c>
    </row>
    <row r="202" spans="2:34" ht="34.5" customHeight="1" x14ac:dyDescent="0.5">
      <c r="B202" s="121">
        <v>44550</v>
      </c>
      <c r="C202" s="122" t="s">
        <v>87</v>
      </c>
      <c r="D202" s="115" t="s">
        <v>80</v>
      </c>
      <c r="E202" s="179" t="s">
        <v>339</v>
      </c>
      <c r="F202" s="111" t="s">
        <v>51</v>
      </c>
      <c r="G202" s="111">
        <v>0</v>
      </c>
      <c r="H202" s="111">
        <v>1</v>
      </c>
      <c r="I202" s="111">
        <v>1</v>
      </c>
      <c r="J202" s="111">
        <f t="shared" si="123"/>
        <v>0</v>
      </c>
      <c r="K202" s="117">
        <v>1840</v>
      </c>
      <c r="L202" s="117">
        <f t="shared" si="124"/>
        <v>0</v>
      </c>
      <c r="M202" s="117">
        <f t="shared" si="118"/>
        <v>0</v>
      </c>
      <c r="N202" s="117">
        <f t="shared" si="125"/>
        <v>0</v>
      </c>
    </row>
    <row r="203" spans="2:34" ht="35.25" customHeight="1" x14ac:dyDescent="0.5">
      <c r="B203" s="121">
        <v>44550</v>
      </c>
      <c r="C203" s="122" t="s">
        <v>86</v>
      </c>
      <c r="D203" s="115" t="s">
        <v>80</v>
      </c>
      <c r="E203" s="179" t="s">
        <v>340</v>
      </c>
      <c r="F203" s="111" t="s">
        <v>51</v>
      </c>
      <c r="G203" s="111">
        <v>1</v>
      </c>
      <c r="H203" s="111">
        <v>1</v>
      </c>
      <c r="I203" s="111">
        <v>1</v>
      </c>
      <c r="J203" s="111">
        <f t="shared" si="123"/>
        <v>0</v>
      </c>
      <c r="K203" s="117">
        <v>1570</v>
      </c>
      <c r="L203" s="117">
        <f t="shared" si="124"/>
        <v>0</v>
      </c>
      <c r="M203" s="117">
        <f t="shared" si="118"/>
        <v>0</v>
      </c>
      <c r="N203" s="117">
        <f t="shared" si="125"/>
        <v>0</v>
      </c>
    </row>
    <row r="204" spans="2:34" ht="35.25" customHeight="1" x14ac:dyDescent="0.5">
      <c r="B204" s="121">
        <v>44550</v>
      </c>
      <c r="C204" s="122" t="s">
        <v>87</v>
      </c>
      <c r="D204" s="115" t="s">
        <v>80</v>
      </c>
      <c r="E204" s="179" t="s">
        <v>341</v>
      </c>
      <c r="F204" s="111" t="s">
        <v>51</v>
      </c>
      <c r="G204" s="111">
        <v>0</v>
      </c>
      <c r="H204" s="111">
        <v>1</v>
      </c>
      <c r="I204" s="111">
        <v>1</v>
      </c>
      <c r="J204" s="111">
        <f t="shared" si="123"/>
        <v>0</v>
      </c>
      <c r="K204" s="117">
        <v>1840</v>
      </c>
      <c r="L204" s="117">
        <f t="shared" si="124"/>
        <v>0</v>
      </c>
      <c r="M204" s="117">
        <f t="shared" si="118"/>
        <v>0</v>
      </c>
      <c r="N204" s="117">
        <f t="shared" si="125"/>
        <v>0</v>
      </c>
    </row>
    <row r="205" spans="2:34" ht="30" customHeight="1" x14ac:dyDescent="0.5">
      <c r="B205" s="180"/>
      <c r="C205" s="130"/>
      <c r="D205" s="284" t="s">
        <v>128</v>
      </c>
      <c r="E205" s="285"/>
      <c r="F205" s="113"/>
      <c r="G205" s="113"/>
      <c r="H205" s="112"/>
      <c r="I205" s="112"/>
      <c r="J205" s="113"/>
      <c r="K205" s="132"/>
      <c r="L205" s="133"/>
      <c r="M205" s="133"/>
      <c r="N205" s="181">
        <f>SUM(N206:N239)</f>
        <v>254018.56460000001</v>
      </c>
    </row>
    <row r="206" spans="2:34" ht="33.75" customHeight="1" x14ac:dyDescent="0.5">
      <c r="B206" s="121">
        <v>43047</v>
      </c>
      <c r="C206" s="122" t="s">
        <v>47</v>
      </c>
      <c r="D206" s="115">
        <v>43047</v>
      </c>
      <c r="E206" s="116" t="s">
        <v>22</v>
      </c>
      <c r="F206" s="111" t="s">
        <v>51</v>
      </c>
      <c r="G206" s="111">
        <v>15</v>
      </c>
      <c r="H206" s="111">
        <v>25</v>
      </c>
      <c r="I206" s="111">
        <f>16+2</f>
        <v>18</v>
      </c>
      <c r="J206" s="105">
        <f>H206-I206+G206</f>
        <v>22</v>
      </c>
      <c r="K206" s="117">
        <v>60</v>
      </c>
      <c r="L206" s="106">
        <f>J206*K206</f>
        <v>1320</v>
      </c>
      <c r="M206" s="117">
        <f>L206*18%</f>
        <v>237.6</v>
      </c>
      <c r="N206" s="106">
        <f>L206+M206</f>
        <v>1557.6</v>
      </c>
    </row>
    <row r="207" spans="2:34" ht="33.75" customHeight="1" x14ac:dyDescent="0.5">
      <c r="B207" s="121">
        <v>45793</v>
      </c>
      <c r="C207" s="122" t="s">
        <v>463</v>
      </c>
      <c r="D207" s="115">
        <v>45793</v>
      </c>
      <c r="E207" s="104" t="s">
        <v>465</v>
      </c>
      <c r="F207" s="111" t="s">
        <v>51</v>
      </c>
      <c r="G207" s="105">
        <v>30</v>
      </c>
      <c r="H207" s="111">
        <v>30</v>
      </c>
      <c r="I207" s="111">
        <f>4+1</f>
        <v>5</v>
      </c>
      <c r="J207" s="105">
        <f>H207-I207</f>
        <v>25</v>
      </c>
      <c r="K207" s="117">
        <v>160</v>
      </c>
      <c r="L207" s="106">
        <f>J207*K207</f>
        <v>4000</v>
      </c>
      <c r="M207" s="117">
        <f>L207*18%</f>
        <v>720</v>
      </c>
      <c r="N207" s="106">
        <f>L207+M207</f>
        <v>4720</v>
      </c>
    </row>
    <row r="208" spans="2:34" ht="33.75" customHeight="1" x14ac:dyDescent="0.5">
      <c r="B208" s="121">
        <v>45777</v>
      </c>
      <c r="C208" s="122" t="s">
        <v>463</v>
      </c>
      <c r="D208" s="115">
        <v>45777</v>
      </c>
      <c r="E208" s="104" t="s">
        <v>464</v>
      </c>
      <c r="F208" s="105" t="s">
        <v>51</v>
      </c>
      <c r="G208" s="105">
        <v>10</v>
      </c>
      <c r="H208" s="111">
        <v>10</v>
      </c>
      <c r="I208" s="111">
        <v>0</v>
      </c>
      <c r="J208" s="105">
        <f>H208-I208</f>
        <v>10</v>
      </c>
      <c r="K208" s="117">
        <v>235</v>
      </c>
      <c r="L208" s="106">
        <f>J208*K208</f>
        <v>2350</v>
      </c>
      <c r="M208" s="117">
        <f>L208*18%</f>
        <v>423</v>
      </c>
      <c r="N208" s="106">
        <f>L208+M208</f>
        <v>2773</v>
      </c>
    </row>
    <row r="209" spans="2:19" ht="33.75" customHeight="1" x14ac:dyDescent="0.5">
      <c r="B209" s="121">
        <v>45006</v>
      </c>
      <c r="C209" s="102" t="s">
        <v>88</v>
      </c>
      <c r="D209" s="115">
        <v>45006</v>
      </c>
      <c r="E209" s="104" t="s">
        <v>394</v>
      </c>
      <c r="F209" s="105" t="s">
        <v>51</v>
      </c>
      <c r="G209" s="105">
        <v>16</v>
      </c>
      <c r="H209" s="111">
        <v>101</v>
      </c>
      <c r="I209" s="111">
        <f>34+1+2</f>
        <v>37</v>
      </c>
      <c r="J209" s="105">
        <f t="shared" ref="J209" si="126">H209-I209</f>
        <v>64</v>
      </c>
      <c r="K209" s="117">
        <v>70</v>
      </c>
      <c r="L209" s="106">
        <f>J209*K209</f>
        <v>4480</v>
      </c>
      <c r="M209" s="117">
        <f>L209*18%</f>
        <v>806.4</v>
      </c>
      <c r="N209" s="106">
        <f>L209+M209</f>
        <v>5286.4</v>
      </c>
    </row>
    <row r="210" spans="2:19" s="90" customFormat="1" ht="39" customHeight="1" x14ac:dyDescent="0.5">
      <c r="B210" s="135" t="s">
        <v>204</v>
      </c>
      <c r="C210" s="271" t="s">
        <v>88</v>
      </c>
      <c r="D210" s="137" t="s">
        <v>201</v>
      </c>
      <c r="E210" s="138" t="s">
        <v>23</v>
      </c>
      <c r="F210" s="139" t="s">
        <v>51</v>
      </c>
      <c r="G210" s="139">
        <v>38</v>
      </c>
      <c r="H210" s="139">
        <v>88</v>
      </c>
      <c r="I210" s="139">
        <f>48+1+2+1+2+1</f>
        <v>55</v>
      </c>
      <c r="J210" s="139">
        <f t="shared" ref="J210:J222" si="127">H210-I210</f>
        <v>33</v>
      </c>
      <c r="K210" s="142">
        <v>74</v>
      </c>
      <c r="L210" s="142">
        <f t="shared" ref="L210:L239" si="128">J210*K210</f>
        <v>2442</v>
      </c>
      <c r="M210" s="142">
        <f t="shared" ref="M210:M239" si="129">L210*18%</f>
        <v>439.56</v>
      </c>
      <c r="N210" s="142">
        <f t="shared" ref="N210:N239" si="130">L210+M210</f>
        <v>2881.56</v>
      </c>
    </row>
    <row r="211" spans="2:19" ht="33.75" customHeight="1" x14ac:dyDescent="0.5">
      <c r="B211" s="121" t="s">
        <v>201</v>
      </c>
      <c r="C211" s="122" t="s">
        <v>89</v>
      </c>
      <c r="D211" s="115">
        <v>45775</v>
      </c>
      <c r="E211" s="116" t="s">
        <v>62</v>
      </c>
      <c r="F211" s="111" t="s">
        <v>51</v>
      </c>
      <c r="G211" s="111">
        <v>7</v>
      </c>
      <c r="H211" s="111">
        <v>10</v>
      </c>
      <c r="I211" s="111">
        <v>2</v>
      </c>
      <c r="J211" s="105">
        <f>H211-I211+G211</f>
        <v>15</v>
      </c>
      <c r="K211" s="117">
        <v>87</v>
      </c>
      <c r="L211" s="106">
        <f t="shared" si="128"/>
        <v>1305</v>
      </c>
      <c r="M211" s="106">
        <f t="shared" si="129"/>
        <v>234.89999999999998</v>
      </c>
      <c r="N211" s="106">
        <f t="shared" si="130"/>
        <v>1539.9</v>
      </c>
    </row>
    <row r="212" spans="2:19" ht="33.75" customHeight="1" x14ac:dyDescent="0.5">
      <c r="B212" s="121">
        <v>45775</v>
      </c>
      <c r="C212" s="122" t="s">
        <v>90</v>
      </c>
      <c r="D212" s="115">
        <v>45775</v>
      </c>
      <c r="E212" s="116" t="s">
        <v>458</v>
      </c>
      <c r="F212" s="111" t="s">
        <v>51</v>
      </c>
      <c r="G212" s="111">
        <v>30</v>
      </c>
      <c r="H212" s="111">
        <v>30</v>
      </c>
      <c r="I212" s="111">
        <v>2</v>
      </c>
      <c r="J212" s="105">
        <f>H212-I212</f>
        <v>28</v>
      </c>
      <c r="K212" s="117">
        <v>29</v>
      </c>
      <c r="L212" s="106">
        <f t="shared" si="128"/>
        <v>812</v>
      </c>
      <c r="M212" s="106">
        <f t="shared" si="129"/>
        <v>146.16</v>
      </c>
      <c r="N212" s="106">
        <f t="shared" si="130"/>
        <v>958.16</v>
      </c>
    </row>
    <row r="213" spans="2:19" ht="32.25" customHeight="1" x14ac:dyDescent="0.5">
      <c r="B213" s="121" t="s">
        <v>201</v>
      </c>
      <c r="C213" s="122" t="s">
        <v>90</v>
      </c>
      <c r="D213" s="115" t="s">
        <v>201</v>
      </c>
      <c r="E213" s="116" t="s">
        <v>418</v>
      </c>
      <c r="F213" s="111" t="s">
        <v>51</v>
      </c>
      <c r="G213" s="111">
        <v>2</v>
      </c>
      <c r="H213" s="111">
        <v>8</v>
      </c>
      <c r="I213" s="111">
        <v>4</v>
      </c>
      <c r="J213" s="105">
        <f t="shared" si="127"/>
        <v>4</v>
      </c>
      <c r="K213" s="117">
        <v>7500</v>
      </c>
      <c r="L213" s="117">
        <f t="shared" si="128"/>
        <v>30000</v>
      </c>
      <c r="M213" s="117">
        <f t="shared" si="129"/>
        <v>5400</v>
      </c>
      <c r="N213" s="117">
        <f t="shared" si="130"/>
        <v>35400</v>
      </c>
    </row>
    <row r="214" spans="2:19" x14ac:dyDescent="0.5">
      <c r="B214" s="121">
        <v>44517</v>
      </c>
      <c r="C214" s="122" t="s">
        <v>91</v>
      </c>
      <c r="D214" s="103">
        <v>45754</v>
      </c>
      <c r="E214" s="116" t="s">
        <v>63</v>
      </c>
      <c r="F214" s="111" t="s">
        <v>51</v>
      </c>
      <c r="G214" s="111">
        <v>7</v>
      </c>
      <c r="H214" s="111">
        <f>23+20</f>
        <v>43</v>
      </c>
      <c r="I214" s="111">
        <f>26+1</f>
        <v>27</v>
      </c>
      <c r="J214" s="105">
        <f t="shared" si="127"/>
        <v>16</v>
      </c>
      <c r="K214" s="117">
        <v>127</v>
      </c>
      <c r="L214" s="106">
        <f t="shared" si="128"/>
        <v>2032</v>
      </c>
      <c r="M214" s="106">
        <f t="shared" si="129"/>
        <v>365.76</v>
      </c>
      <c r="N214" s="106">
        <f t="shared" si="130"/>
        <v>2397.7600000000002</v>
      </c>
    </row>
    <row r="215" spans="2:19" ht="35.25" customHeight="1" x14ac:dyDescent="0.5">
      <c r="B215" s="101">
        <v>44760</v>
      </c>
      <c r="C215" s="122" t="s">
        <v>377</v>
      </c>
      <c r="D215" s="103">
        <v>44760</v>
      </c>
      <c r="E215" s="116" t="s">
        <v>378</v>
      </c>
      <c r="F215" s="111" t="s">
        <v>51</v>
      </c>
      <c r="G215" s="111"/>
      <c r="H215" s="111">
        <v>22</v>
      </c>
      <c r="I215" s="111">
        <v>22</v>
      </c>
      <c r="J215" s="105">
        <f t="shared" ref="J215" si="131">H215-I215</f>
        <v>0</v>
      </c>
      <c r="K215" s="117">
        <v>522</v>
      </c>
      <c r="L215" s="106">
        <f t="shared" ref="L215" si="132">J215*K215</f>
        <v>0</v>
      </c>
      <c r="M215" s="106">
        <f t="shared" ref="M215" si="133">L215*18%</f>
        <v>0</v>
      </c>
      <c r="N215" s="106">
        <f t="shared" ref="N215" si="134">L215+M215</f>
        <v>0</v>
      </c>
    </row>
    <row r="216" spans="2:19" ht="35.25" customHeight="1" x14ac:dyDescent="0.5">
      <c r="B216" s="121" t="s">
        <v>201</v>
      </c>
      <c r="C216" s="122" t="s">
        <v>92</v>
      </c>
      <c r="D216" s="103">
        <v>44760</v>
      </c>
      <c r="E216" s="116" t="s">
        <v>417</v>
      </c>
      <c r="F216" s="111" t="s">
        <v>24</v>
      </c>
      <c r="G216" s="111">
        <v>6</v>
      </c>
      <c r="H216" s="111">
        <f>15+20</f>
        <v>35</v>
      </c>
      <c r="I216" s="111">
        <f>17+1+1+1</f>
        <v>20</v>
      </c>
      <c r="J216" s="105">
        <f t="shared" si="127"/>
        <v>15</v>
      </c>
      <c r="K216" s="117">
        <v>139.83000000000001</v>
      </c>
      <c r="L216" s="106">
        <f t="shared" si="128"/>
        <v>2097.4500000000003</v>
      </c>
      <c r="M216" s="106">
        <f t="shared" si="129"/>
        <v>377.54100000000005</v>
      </c>
      <c r="N216" s="106">
        <f t="shared" si="130"/>
        <v>2474.9910000000004</v>
      </c>
    </row>
    <row r="217" spans="2:19" ht="34.5" customHeight="1" x14ac:dyDescent="0.5">
      <c r="B217" s="121" t="s">
        <v>201</v>
      </c>
      <c r="C217" s="122" t="s">
        <v>94</v>
      </c>
      <c r="D217" s="115" t="s">
        <v>201</v>
      </c>
      <c r="E217" s="116" t="s">
        <v>405</v>
      </c>
      <c r="F217" s="111" t="s">
        <v>51</v>
      </c>
      <c r="G217" s="111">
        <v>0</v>
      </c>
      <c r="H217" s="111">
        <v>12</v>
      </c>
      <c r="I217" s="111">
        <v>12</v>
      </c>
      <c r="J217" s="105">
        <f t="shared" si="127"/>
        <v>0</v>
      </c>
      <c r="K217" s="117">
        <v>119</v>
      </c>
      <c r="L217" s="106">
        <f t="shared" si="128"/>
        <v>0</v>
      </c>
      <c r="M217" s="106">
        <f t="shared" si="129"/>
        <v>0</v>
      </c>
      <c r="N217" s="106">
        <f t="shared" si="130"/>
        <v>0</v>
      </c>
    </row>
    <row r="218" spans="2:19" s="96" customFormat="1" ht="39" customHeight="1" x14ac:dyDescent="0.5">
      <c r="B218" s="121" t="s">
        <v>201</v>
      </c>
      <c r="C218" s="122" t="s">
        <v>95</v>
      </c>
      <c r="D218" s="115" t="s">
        <v>201</v>
      </c>
      <c r="E218" s="116" t="s">
        <v>25</v>
      </c>
      <c r="F218" s="111" t="s">
        <v>51</v>
      </c>
      <c r="G218" s="111">
        <v>3</v>
      </c>
      <c r="H218" s="111">
        <v>22</v>
      </c>
      <c r="I218" s="111">
        <v>22</v>
      </c>
      <c r="J218" s="105">
        <f t="shared" si="127"/>
        <v>0</v>
      </c>
      <c r="K218" s="117">
        <v>270</v>
      </c>
      <c r="L218" s="106">
        <f t="shared" si="128"/>
        <v>0</v>
      </c>
      <c r="M218" s="106">
        <f t="shared" si="129"/>
        <v>0</v>
      </c>
      <c r="N218" s="106">
        <f t="shared" si="130"/>
        <v>0</v>
      </c>
      <c r="Q218" s="89"/>
      <c r="R218" s="89"/>
      <c r="S218" s="89"/>
    </row>
    <row r="219" spans="2:19" s="96" customFormat="1" ht="32.25" customHeight="1" x14ac:dyDescent="0.5">
      <c r="B219" s="123" t="str">
        <f>B218</f>
        <v>06/19/2020</v>
      </c>
      <c r="C219" s="124" t="s">
        <v>95</v>
      </c>
      <c r="D219" s="125" t="str">
        <f>D218</f>
        <v>06/19/2020</v>
      </c>
      <c r="E219" s="182" t="s">
        <v>234</v>
      </c>
      <c r="F219" s="127" t="s">
        <v>235</v>
      </c>
      <c r="G219" s="127">
        <v>7</v>
      </c>
      <c r="H219" s="127">
        <v>22</v>
      </c>
      <c r="I219" s="127">
        <v>14</v>
      </c>
      <c r="J219" s="105">
        <f t="shared" si="127"/>
        <v>8</v>
      </c>
      <c r="K219" s="128">
        <v>1300</v>
      </c>
      <c r="L219" s="167">
        <f>K219*J219</f>
        <v>10400</v>
      </c>
      <c r="M219" s="167">
        <f t="shared" si="129"/>
        <v>1872</v>
      </c>
      <c r="N219" s="167">
        <f t="shared" si="130"/>
        <v>12272</v>
      </c>
      <c r="Q219" s="89"/>
      <c r="R219" s="89"/>
      <c r="S219" s="89"/>
    </row>
    <row r="220" spans="2:19" s="89" customFormat="1" ht="27.75" customHeight="1" x14ac:dyDescent="0.5">
      <c r="B220" s="143" t="s">
        <v>254</v>
      </c>
      <c r="C220" s="144" t="s">
        <v>98</v>
      </c>
      <c r="D220" s="145">
        <v>44475</v>
      </c>
      <c r="E220" s="246" t="s">
        <v>255</v>
      </c>
      <c r="F220" s="148" t="s">
        <v>256</v>
      </c>
      <c r="G220" s="148">
        <v>0</v>
      </c>
      <c r="H220" s="148">
        <v>30</v>
      </c>
      <c r="I220" s="148">
        <f>11+1</f>
        <v>12</v>
      </c>
      <c r="J220" s="105">
        <f t="shared" si="127"/>
        <v>18</v>
      </c>
      <c r="K220" s="149">
        <v>495</v>
      </c>
      <c r="L220" s="150">
        <f t="shared" si="128"/>
        <v>8910</v>
      </c>
      <c r="M220" s="150">
        <f t="shared" si="129"/>
        <v>1603.8</v>
      </c>
      <c r="N220" s="150">
        <f t="shared" si="130"/>
        <v>10513.8</v>
      </c>
    </row>
    <row r="221" spans="2:19" s="96" customFormat="1" ht="27.75" customHeight="1" x14ac:dyDescent="0.5">
      <c r="B221" s="123">
        <v>44672</v>
      </c>
      <c r="C221" s="124" t="s">
        <v>95</v>
      </c>
      <c r="D221" s="103">
        <v>44760</v>
      </c>
      <c r="E221" s="182" t="s">
        <v>347</v>
      </c>
      <c r="F221" s="127" t="s">
        <v>51</v>
      </c>
      <c r="G221" s="127">
        <v>35</v>
      </c>
      <c r="H221" s="127">
        <v>50</v>
      </c>
      <c r="I221" s="127">
        <f>3+3</f>
        <v>6</v>
      </c>
      <c r="J221" s="105">
        <f t="shared" ref="J221" si="135">H221-I221</f>
        <v>44</v>
      </c>
      <c r="K221" s="128">
        <v>55.09</v>
      </c>
      <c r="L221" s="167">
        <f t="shared" ref="L221" si="136">J221*K221</f>
        <v>2423.96</v>
      </c>
      <c r="M221" s="167">
        <f t="shared" ref="M221" si="137">L221*18%</f>
        <v>436.31279999999998</v>
      </c>
      <c r="N221" s="167">
        <f t="shared" ref="N221" si="138">L221+M221</f>
        <v>2860.2728000000002</v>
      </c>
      <c r="Q221" s="89"/>
      <c r="R221" s="97"/>
      <c r="S221" s="89"/>
    </row>
    <row r="222" spans="2:19" s="96" customFormat="1" ht="30.75" customHeight="1" x14ac:dyDescent="0.5">
      <c r="B222" s="123">
        <v>44517</v>
      </c>
      <c r="C222" s="124" t="s">
        <v>95</v>
      </c>
      <c r="D222" s="103">
        <v>44760</v>
      </c>
      <c r="E222" s="182" t="s">
        <v>236</v>
      </c>
      <c r="F222" s="127" t="s">
        <v>235</v>
      </c>
      <c r="G222" s="127">
        <v>1</v>
      </c>
      <c r="H222" s="127">
        <v>6</v>
      </c>
      <c r="I222" s="127">
        <v>6</v>
      </c>
      <c r="J222" s="105">
        <f t="shared" si="127"/>
        <v>0</v>
      </c>
      <c r="K222" s="128">
        <v>507</v>
      </c>
      <c r="L222" s="167">
        <f t="shared" si="128"/>
        <v>0</v>
      </c>
      <c r="M222" s="167">
        <f t="shared" si="129"/>
        <v>0</v>
      </c>
      <c r="N222" s="167">
        <f t="shared" si="130"/>
        <v>0</v>
      </c>
      <c r="Q222" s="89"/>
      <c r="R222" s="89"/>
      <c r="S222" s="89"/>
    </row>
    <row r="223" spans="2:19" s="96" customFormat="1" ht="30" customHeight="1" x14ac:dyDescent="0.5">
      <c r="B223" s="123" t="s">
        <v>254</v>
      </c>
      <c r="C223" s="124" t="s">
        <v>97</v>
      </c>
      <c r="D223" s="125">
        <v>44475</v>
      </c>
      <c r="E223" s="182" t="s">
        <v>344</v>
      </c>
      <c r="F223" s="127" t="s">
        <v>345</v>
      </c>
      <c r="G223" s="127">
        <v>2</v>
      </c>
      <c r="H223" s="127">
        <v>2</v>
      </c>
      <c r="I223" s="127">
        <v>1</v>
      </c>
      <c r="J223" s="139">
        <f t="shared" ref="J223:J235" si="139">H223-I223</f>
        <v>1</v>
      </c>
      <c r="K223" s="128">
        <v>1120</v>
      </c>
      <c r="L223" s="167">
        <f t="shared" si="128"/>
        <v>1120</v>
      </c>
      <c r="M223" s="167">
        <f t="shared" si="129"/>
        <v>201.6</v>
      </c>
      <c r="N223" s="167">
        <f t="shared" si="130"/>
        <v>1321.6</v>
      </c>
    </row>
    <row r="224" spans="2:19" s="89" customFormat="1" ht="30.75" customHeight="1" x14ac:dyDescent="0.5">
      <c r="B224" s="143">
        <f>B222</f>
        <v>44517</v>
      </c>
      <c r="C224" s="144" t="s">
        <v>95</v>
      </c>
      <c r="D224" s="103">
        <v>44760</v>
      </c>
      <c r="E224" s="246" t="s">
        <v>237</v>
      </c>
      <c r="F224" s="148" t="s">
        <v>235</v>
      </c>
      <c r="G224" s="148">
        <v>19</v>
      </c>
      <c r="H224" s="148">
        <v>20</v>
      </c>
      <c r="I224" s="148">
        <f>12+1+1+1</f>
        <v>15</v>
      </c>
      <c r="J224" s="105">
        <f>H224-I224+G224</f>
        <v>24</v>
      </c>
      <c r="K224" s="149">
        <v>97.46</v>
      </c>
      <c r="L224" s="150">
        <f>J224*K224</f>
        <v>2339.04</v>
      </c>
      <c r="M224" s="150">
        <f>L224*18%</f>
        <v>421.02719999999999</v>
      </c>
      <c r="N224" s="150">
        <f t="shared" si="130"/>
        <v>2760.0672</v>
      </c>
    </row>
    <row r="225" spans="1:14" s="89" customFormat="1" ht="33" customHeight="1" x14ac:dyDescent="0.5">
      <c r="B225" s="143">
        <f>B224</f>
        <v>44517</v>
      </c>
      <c r="C225" s="144" t="s">
        <v>95</v>
      </c>
      <c r="D225" s="103">
        <v>45777</v>
      </c>
      <c r="E225" s="246" t="s">
        <v>238</v>
      </c>
      <c r="F225" s="148" t="s">
        <v>235</v>
      </c>
      <c r="G225" s="148">
        <v>6</v>
      </c>
      <c r="H225" s="148">
        <v>5</v>
      </c>
      <c r="I225" s="148">
        <v>2</v>
      </c>
      <c r="J225" s="105">
        <f>H225-I225+G225</f>
        <v>9</v>
      </c>
      <c r="K225" s="149">
        <v>434</v>
      </c>
      <c r="L225" s="150">
        <f>J225*K225</f>
        <v>3906</v>
      </c>
      <c r="M225" s="150">
        <f>L225*18%</f>
        <v>703.07999999999993</v>
      </c>
      <c r="N225" s="150">
        <f t="shared" si="130"/>
        <v>4609.08</v>
      </c>
    </row>
    <row r="226" spans="1:14" s="90" customFormat="1" ht="33" customHeight="1" x14ac:dyDescent="0.5">
      <c r="B226" s="123">
        <f>B225</f>
        <v>44517</v>
      </c>
      <c r="C226" s="124" t="s">
        <v>95</v>
      </c>
      <c r="D226" s="125">
        <v>45754</v>
      </c>
      <c r="E226" s="182" t="s">
        <v>416</v>
      </c>
      <c r="F226" s="127" t="s">
        <v>235</v>
      </c>
      <c r="G226" s="127">
        <v>16</v>
      </c>
      <c r="H226" s="127">
        <v>20</v>
      </c>
      <c r="I226" s="127">
        <v>6</v>
      </c>
      <c r="J226" s="139">
        <f>H226-I226+G226</f>
        <v>30</v>
      </c>
      <c r="K226" s="128">
        <v>196</v>
      </c>
      <c r="L226" s="167">
        <f>J226*K226</f>
        <v>5880</v>
      </c>
      <c r="M226" s="167">
        <f>L226*18%</f>
        <v>1058.3999999999999</v>
      </c>
      <c r="N226" s="167">
        <f t="shared" si="130"/>
        <v>6938.4</v>
      </c>
    </row>
    <row r="227" spans="1:14" ht="33" customHeight="1" x14ac:dyDescent="0.5">
      <c r="B227" s="121">
        <v>44530</v>
      </c>
      <c r="C227" s="122" t="s">
        <v>173</v>
      </c>
      <c r="D227" s="115" t="s">
        <v>421</v>
      </c>
      <c r="E227" s="183" t="s">
        <v>422</v>
      </c>
      <c r="F227" s="111" t="s">
        <v>59</v>
      </c>
      <c r="G227" s="111">
        <v>16</v>
      </c>
      <c r="H227" s="111">
        <v>10</v>
      </c>
      <c r="I227" s="111">
        <v>0</v>
      </c>
      <c r="J227" s="105">
        <f t="shared" ref="J227" si="140">H227-I227</f>
        <v>10</v>
      </c>
      <c r="K227" s="117">
        <v>629</v>
      </c>
      <c r="L227" s="106">
        <f t="shared" ref="L227" si="141">J227*K227</f>
        <v>6290</v>
      </c>
      <c r="M227" s="167">
        <f>L227*18%</f>
        <v>1132.2</v>
      </c>
      <c r="N227" s="167">
        <f t="shared" si="130"/>
        <v>7422.2</v>
      </c>
    </row>
    <row r="228" spans="1:14" ht="30" customHeight="1" x14ac:dyDescent="0.5">
      <c r="B228" s="121">
        <v>44531</v>
      </c>
      <c r="C228" s="122" t="s">
        <v>176</v>
      </c>
      <c r="D228" s="115" t="s">
        <v>201</v>
      </c>
      <c r="E228" s="183" t="s">
        <v>425</v>
      </c>
      <c r="F228" s="111" t="s">
        <v>59</v>
      </c>
      <c r="G228" s="111">
        <v>3</v>
      </c>
      <c r="H228" s="111">
        <v>1000</v>
      </c>
      <c r="I228" s="111">
        <v>966</v>
      </c>
      <c r="J228" s="105">
        <v>34</v>
      </c>
      <c r="K228" s="117">
        <v>9</v>
      </c>
      <c r="L228" s="106">
        <v>900</v>
      </c>
      <c r="M228" s="106">
        <v>162</v>
      </c>
      <c r="N228" s="150">
        <v>1062</v>
      </c>
    </row>
    <row r="229" spans="1:14" s="89" customFormat="1" x14ac:dyDescent="0.5">
      <c r="B229" s="143">
        <v>44531</v>
      </c>
      <c r="C229" s="144" t="s">
        <v>177</v>
      </c>
      <c r="D229" s="184">
        <v>45775</v>
      </c>
      <c r="E229" s="246" t="s">
        <v>455</v>
      </c>
      <c r="F229" s="148" t="s">
        <v>59</v>
      </c>
      <c r="G229" s="148">
        <v>13</v>
      </c>
      <c r="H229" s="148">
        <f>20+100</f>
        <v>120</v>
      </c>
      <c r="I229" s="148">
        <f>30+5</f>
        <v>35</v>
      </c>
      <c r="J229" s="105">
        <f t="shared" si="139"/>
        <v>85</v>
      </c>
      <c r="K229" s="149">
        <v>55</v>
      </c>
      <c r="L229" s="150">
        <f t="shared" si="128"/>
        <v>4675</v>
      </c>
      <c r="M229" s="150">
        <f t="shared" si="129"/>
        <v>841.5</v>
      </c>
      <c r="N229" s="150">
        <f t="shared" si="130"/>
        <v>5516.5</v>
      </c>
    </row>
    <row r="230" spans="1:14" s="89" customFormat="1" x14ac:dyDescent="0.5">
      <c r="B230" s="143" t="s">
        <v>461</v>
      </c>
      <c r="C230" s="144" t="s">
        <v>178</v>
      </c>
      <c r="D230" s="184" t="s">
        <v>461</v>
      </c>
      <c r="E230" s="246" t="s">
        <v>462</v>
      </c>
      <c r="F230" s="148" t="s">
        <v>59</v>
      </c>
      <c r="G230" s="148">
        <v>100</v>
      </c>
      <c r="H230" s="148">
        <v>100</v>
      </c>
      <c r="I230" s="148">
        <f>4+5</f>
        <v>9</v>
      </c>
      <c r="J230" s="105">
        <f>H230-I230</f>
        <v>91</v>
      </c>
      <c r="K230" s="149">
        <v>385</v>
      </c>
      <c r="L230" s="150">
        <f t="shared" si="128"/>
        <v>35035</v>
      </c>
      <c r="M230" s="150">
        <f t="shared" si="129"/>
        <v>6306.3</v>
      </c>
      <c r="N230" s="150">
        <f t="shared" si="130"/>
        <v>41341.300000000003</v>
      </c>
    </row>
    <row r="231" spans="1:14" ht="30" customHeight="1" x14ac:dyDescent="0.5">
      <c r="B231" s="143">
        <f>B229</f>
        <v>44531</v>
      </c>
      <c r="C231" s="144" t="s">
        <v>177</v>
      </c>
      <c r="D231" s="115">
        <v>45777</v>
      </c>
      <c r="E231" s="246" t="s">
        <v>460</v>
      </c>
      <c r="F231" s="148" t="str">
        <f>F229</f>
        <v>PAQ,</v>
      </c>
      <c r="G231" s="148">
        <v>2</v>
      </c>
      <c r="H231" s="148">
        <f>20+500</f>
        <v>520</v>
      </c>
      <c r="I231" s="148">
        <v>20</v>
      </c>
      <c r="J231" s="105">
        <f t="shared" si="139"/>
        <v>500</v>
      </c>
      <c r="K231" s="149">
        <v>145</v>
      </c>
      <c r="L231" s="150">
        <f t="shared" si="128"/>
        <v>72500</v>
      </c>
      <c r="M231" s="150">
        <f t="shared" si="129"/>
        <v>13050</v>
      </c>
      <c r="N231" s="150">
        <f t="shared" si="130"/>
        <v>85550</v>
      </c>
    </row>
    <row r="232" spans="1:14" x14ac:dyDescent="0.5">
      <c r="B232" s="185">
        <v>44663</v>
      </c>
      <c r="C232" s="144" t="s">
        <v>346</v>
      </c>
      <c r="D232" s="184">
        <v>44663</v>
      </c>
      <c r="E232" s="246" t="s">
        <v>395</v>
      </c>
      <c r="F232" s="148" t="s">
        <v>51</v>
      </c>
      <c r="G232" s="148">
        <v>3</v>
      </c>
      <c r="H232" s="148">
        <v>7</v>
      </c>
      <c r="I232" s="148">
        <v>1</v>
      </c>
      <c r="J232" s="105">
        <f t="shared" ref="J232" si="142">H232-I232</f>
        <v>6</v>
      </c>
      <c r="K232" s="149">
        <v>237.3</v>
      </c>
      <c r="L232" s="150">
        <f t="shared" ref="L232" si="143">J232*K232</f>
        <v>1423.8000000000002</v>
      </c>
      <c r="M232" s="150">
        <f t="shared" ref="M232" si="144">L232*18%</f>
        <v>256.28400000000005</v>
      </c>
      <c r="N232" s="150">
        <f t="shared" ref="N232" si="145">L232+M232</f>
        <v>1680.0840000000003</v>
      </c>
    </row>
    <row r="233" spans="1:14" ht="26.25" customHeight="1" x14ac:dyDescent="0.5">
      <c r="B233" s="121" t="s">
        <v>201</v>
      </c>
      <c r="C233" s="122" t="s">
        <v>97</v>
      </c>
      <c r="D233" s="115">
        <v>45775</v>
      </c>
      <c r="E233" s="183" t="s">
        <v>457</v>
      </c>
      <c r="F233" s="111" t="s">
        <v>51</v>
      </c>
      <c r="G233" s="111">
        <v>0</v>
      </c>
      <c r="H233" s="111">
        <f>6+10</f>
        <v>16</v>
      </c>
      <c r="I233" s="111">
        <v>5</v>
      </c>
      <c r="J233" s="105">
        <f t="shared" si="139"/>
        <v>11</v>
      </c>
      <c r="K233" s="117">
        <v>198</v>
      </c>
      <c r="L233" s="117">
        <f t="shared" si="128"/>
        <v>2178</v>
      </c>
      <c r="M233" s="117">
        <f t="shared" si="129"/>
        <v>392.03999999999996</v>
      </c>
      <c r="N233" s="117">
        <f t="shared" si="130"/>
        <v>2570.04</v>
      </c>
    </row>
    <row r="234" spans="1:14" ht="26.25" customHeight="1" x14ac:dyDescent="0.5">
      <c r="B234" s="121">
        <v>45006</v>
      </c>
      <c r="C234" s="122" t="s">
        <v>379</v>
      </c>
      <c r="D234" s="115">
        <v>45006</v>
      </c>
      <c r="E234" s="183" t="s">
        <v>459</v>
      </c>
      <c r="F234" s="111" t="s">
        <v>51</v>
      </c>
      <c r="G234" s="111">
        <v>0</v>
      </c>
      <c r="H234" s="111">
        <v>15</v>
      </c>
      <c r="I234" s="111">
        <v>9</v>
      </c>
      <c r="J234" s="105">
        <f>H234-I234</f>
        <v>6</v>
      </c>
      <c r="K234" s="117">
        <v>46.62</v>
      </c>
      <c r="L234" s="117">
        <f t="shared" ref="L234" si="146">J234*K234</f>
        <v>279.71999999999997</v>
      </c>
      <c r="M234" s="117">
        <f t="shared" ref="M234" si="147">L234*18%</f>
        <v>50.349599999999995</v>
      </c>
      <c r="N234" s="117">
        <f t="shared" ref="N234" si="148">L234+M234</f>
        <v>330.06959999999998</v>
      </c>
    </row>
    <row r="235" spans="1:14" ht="26.25" customHeight="1" x14ac:dyDescent="0.5">
      <c r="B235" s="121">
        <v>44743</v>
      </c>
      <c r="C235" s="122" t="s">
        <v>379</v>
      </c>
      <c r="D235" s="115">
        <v>44743</v>
      </c>
      <c r="E235" s="183" t="s">
        <v>381</v>
      </c>
      <c r="F235" s="111" t="s">
        <v>51</v>
      </c>
      <c r="G235" s="111">
        <v>0</v>
      </c>
      <c r="H235" s="111">
        <v>15</v>
      </c>
      <c r="I235" s="111">
        <v>4</v>
      </c>
      <c r="J235" s="105">
        <f t="shared" si="139"/>
        <v>11</v>
      </c>
      <c r="K235" s="117">
        <v>16</v>
      </c>
      <c r="L235" s="117">
        <f t="shared" si="128"/>
        <v>176</v>
      </c>
      <c r="M235" s="117">
        <f t="shared" si="129"/>
        <v>31.68</v>
      </c>
      <c r="N235" s="117">
        <f t="shared" si="130"/>
        <v>207.68</v>
      </c>
    </row>
    <row r="236" spans="1:14" ht="26.25" customHeight="1" x14ac:dyDescent="0.5">
      <c r="B236" s="121">
        <v>44743</v>
      </c>
      <c r="C236" s="122" t="s">
        <v>379</v>
      </c>
      <c r="D236" s="115">
        <v>44743</v>
      </c>
      <c r="E236" s="183" t="s">
        <v>380</v>
      </c>
      <c r="F236" s="111" t="s">
        <v>51</v>
      </c>
      <c r="G236" s="111">
        <v>0</v>
      </c>
      <c r="H236" s="111">
        <v>81</v>
      </c>
      <c r="I236" s="111">
        <v>16</v>
      </c>
      <c r="J236" s="105">
        <f t="shared" ref="J236" si="149">H236-I236</f>
        <v>65</v>
      </c>
      <c r="K236" s="117">
        <v>20</v>
      </c>
      <c r="L236" s="117">
        <f t="shared" ref="L236" si="150">J236*K236</f>
        <v>1300</v>
      </c>
      <c r="M236" s="117">
        <f t="shared" ref="M236" si="151">L236*18%</f>
        <v>234</v>
      </c>
      <c r="N236" s="117">
        <f t="shared" ref="N236" si="152">L236+M236</f>
        <v>1534</v>
      </c>
    </row>
    <row r="237" spans="1:14" ht="29.25" customHeight="1" x14ac:dyDescent="0.5">
      <c r="A237" s="77" t="s">
        <v>258</v>
      </c>
      <c r="B237" s="121" t="s">
        <v>201</v>
      </c>
      <c r="C237" s="122" t="s">
        <v>98</v>
      </c>
      <c r="D237" s="115" t="s">
        <v>201</v>
      </c>
      <c r="E237" s="183" t="s">
        <v>26</v>
      </c>
      <c r="F237" s="111" t="s">
        <v>51</v>
      </c>
      <c r="G237" s="111">
        <v>4</v>
      </c>
      <c r="H237" s="111">
        <v>6</v>
      </c>
      <c r="I237" s="111">
        <f>4+1</f>
        <v>5</v>
      </c>
      <c r="J237" s="111">
        <f t="shared" ref="J237:J239" si="153">H237-I237</f>
        <v>1</v>
      </c>
      <c r="K237" s="117">
        <v>195</v>
      </c>
      <c r="L237" s="117">
        <f t="shared" si="128"/>
        <v>195</v>
      </c>
      <c r="M237" s="117">
        <f t="shared" si="129"/>
        <v>35.1</v>
      </c>
      <c r="N237" s="117">
        <f t="shared" si="130"/>
        <v>230.1</v>
      </c>
    </row>
    <row r="238" spans="1:14" ht="33" customHeight="1" x14ac:dyDescent="0.5">
      <c r="B238" s="121" t="s">
        <v>201</v>
      </c>
      <c r="C238" s="122" t="s">
        <v>185</v>
      </c>
      <c r="D238" s="115" t="s">
        <v>201</v>
      </c>
      <c r="E238" s="183" t="s">
        <v>202</v>
      </c>
      <c r="F238" s="111" t="s">
        <v>51</v>
      </c>
      <c r="G238" s="111">
        <v>3</v>
      </c>
      <c r="H238" s="111">
        <v>15</v>
      </c>
      <c r="I238" s="111">
        <v>15</v>
      </c>
      <c r="J238" s="105">
        <f t="shared" si="153"/>
        <v>0</v>
      </c>
      <c r="K238" s="117">
        <v>213</v>
      </c>
      <c r="L238" s="117">
        <f t="shared" si="128"/>
        <v>0</v>
      </c>
      <c r="M238" s="117">
        <f t="shared" si="129"/>
        <v>0</v>
      </c>
      <c r="N238" s="117">
        <f t="shared" si="130"/>
        <v>0</v>
      </c>
    </row>
    <row r="239" spans="1:14" ht="35.25" customHeight="1" x14ac:dyDescent="0.5">
      <c r="B239" s="268">
        <v>42958</v>
      </c>
      <c r="C239" s="122" t="s">
        <v>99</v>
      </c>
      <c r="D239" s="269">
        <v>45775</v>
      </c>
      <c r="E239" s="183" t="s">
        <v>456</v>
      </c>
      <c r="F239" s="111" t="s">
        <v>51</v>
      </c>
      <c r="G239" s="111">
        <v>3</v>
      </c>
      <c r="H239" s="111">
        <v>15</v>
      </c>
      <c r="I239" s="111">
        <v>0</v>
      </c>
      <c r="J239" s="105">
        <f t="shared" si="153"/>
        <v>15</v>
      </c>
      <c r="K239" s="117">
        <v>300</v>
      </c>
      <c r="L239" s="106">
        <f t="shared" si="128"/>
        <v>4500</v>
      </c>
      <c r="M239" s="106">
        <f t="shared" si="129"/>
        <v>810</v>
      </c>
      <c r="N239" s="106">
        <f t="shared" si="130"/>
        <v>5310</v>
      </c>
    </row>
    <row r="240" spans="1:14" x14ac:dyDescent="0.5">
      <c r="B240" s="186"/>
      <c r="C240" s="187"/>
      <c r="D240" s="285" t="s">
        <v>132</v>
      </c>
      <c r="E240" s="285"/>
      <c r="F240" s="113"/>
      <c r="G240" s="113"/>
      <c r="H240" s="112"/>
      <c r="I240" s="112"/>
      <c r="J240" s="113"/>
      <c r="K240" s="132"/>
      <c r="L240" s="133"/>
      <c r="M240" s="133"/>
      <c r="N240" s="181">
        <f>SUM(N241:N256)</f>
        <v>83113.3</v>
      </c>
    </row>
    <row r="241" spans="2:14" ht="31.5" customHeight="1" x14ac:dyDescent="0.5">
      <c r="B241" s="185">
        <v>44517</v>
      </c>
      <c r="C241" s="102" t="s">
        <v>100</v>
      </c>
      <c r="D241" s="184">
        <v>45777</v>
      </c>
      <c r="E241" s="267" t="s">
        <v>266</v>
      </c>
      <c r="F241" s="105" t="s">
        <v>51</v>
      </c>
      <c r="G241" s="105">
        <v>12</v>
      </c>
      <c r="H241" s="105">
        <f>27+15</f>
        <v>42</v>
      </c>
      <c r="I241" s="105">
        <f>21+1+1+1+1</f>
        <v>25</v>
      </c>
      <c r="J241" s="105">
        <f>H241-I241</f>
        <v>17</v>
      </c>
      <c r="K241" s="106">
        <v>515</v>
      </c>
      <c r="L241" s="106">
        <f t="shared" ref="L241:L256" si="154">J241*K241</f>
        <v>8755</v>
      </c>
      <c r="M241" s="106">
        <f t="shared" ref="M241:M256" si="155">L241*18%</f>
        <v>1575.8999999999999</v>
      </c>
      <c r="N241" s="106">
        <f t="shared" ref="N241:N256" si="156">L241+M241</f>
        <v>10330.9</v>
      </c>
    </row>
    <row r="242" spans="2:14" s="90" customFormat="1" ht="33" customHeight="1" x14ac:dyDescent="0.5">
      <c r="B242" s="259">
        <v>44517</v>
      </c>
      <c r="C242" s="136" t="s">
        <v>101</v>
      </c>
      <c r="D242" s="260">
        <v>45775</v>
      </c>
      <c r="E242" s="261" t="s">
        <v>35</v>
      </c>
      <c r="F242" s="140" t="s">
        <v>51</v>
      </c>
      <c r="G242" s="140">
        <v>0</v>
      </c>
      <c r="H242" s="140">
        <v>20</v>
      </c>
      <c r="I242" s="140">
        <f>4+1+1+1+1+1+1+1</f>
        <v>11</v>
      </c>
      <c r="J242" s="139">
        <f>H242-I242</f>
        <v>9</v>
      </c>
      <c r="K242" s="141">
        <v>203</v>
      </c>
      <c r="L242" s="142">
        <f t="shared" si="154"/>
        <v>1827</v>
      </c>
      <c r="M242" s="142">
        <f t="shared" si="155"/>
        <v>328.86</v>
      </c>
      <c r="N242" s="142">
        <f t="shared" si="156"/>
        <v>2155.86</v>
      </c>
    </row>
    <row r="243" spans="2:14" x14ac:dyDescent="0.5">
      <c r="B243" s="185">
        <v>43999</v>
      </c>
      <c r="C243" s="122" t="s">
        <v>102</v>
      </c>
      <c r="D243" s="103">
        <v>45775</v>
      </c>
      <c r="E243" s="266" t="s">
        <v>34</v>
      </c>
      <c r="F243" s="111" t="s">
        <v>51</v>
      </c>
      <c r="G243" s="111">
        <v>7</v>
      </c>
      <c r="H243" s="188">
        <f>40+10</f>
        <v>50</v>
      </c>
      <c r="I243" s="188">
        <f>41+1+1+1+1</f>
        <v>45</v>
      </c>
      <c r="J243" s="105">
        <f>H243-I243</f>
        <v>5</v>
      </c>
      <c r="K243" s="189">
        <v>225</v>
      </c>
      <c r="L243" s="106">
        <f t="shared" si="154"/>
        <v>1125</v>
      </c>
      <c r="M243" s="106">
        <f t="shared" si="155"/>
        <v>202.5</v>
      </c>
      <c r="N243" s="106">
        <f t="shared" si="156"/>
        <v>1327.5</v>
      </c>
    </row>
    <row r="244" spans="2:14" x14ac:dyDescent="0.5">
      <c r="B244" s="185">
        <v>44517</v>
      </c>
      <c r="C244" s="122" t="s">
        <v>103</v>
      </c>
      <c r="D244" s="103">
        <v>45775</v>
      </c>
      <c r="E244" s="183" t="s">
        <v>53</v>
      </c>
      <c r="F244" s="111" t="s">
        <v>51</v>
      </c>
      <c r="G244" s="111">
        <v>0</v>
      </c>
      <c r="H244" s="111">
        <v>100</v>
      </c>
      <c r="I244" s="111">
        <f>2+5+3+5+3+3+3+3+3+5</f>
        <v>35</v>
      </c>
      <c r="J244" s="105">
        <f t="shared" ref="J244:J256" si="157">H244-I244</f>
        <v>65</v>
      </c>
      <c r="K244" s="117">
        <v>331</v>
      </c>
      <c r="L244" s="106">
        <f t="shared" si="154"/>
        <v>21515</v>
      </c>
      <c r="M244" s="106">
        <f t="shared" si="155"/>
        <v>3872.7</v>
      </c>
      <c r="N244" s="106">
        <f t="shared" si="156"/>
        <v>25387.7</v>
      </c>
    </row>
    <row r="245" spans="2:14" x14ac:dyDescent="0.5">
      <c r="B245" s="101">
        <v>44760</v>
      </c>
      <c r="C245" s="122" t="s">
        <v>109</v>
      </c>
      <c r="D245" s="103">
        <v>45404</v>
      </c>
      <c r="E245" s="183" t="s">
        <v>375</v>
      </c>
      <c r="F245" s="111" t="s">
        <v>51</v>
      </c>
      <c r="G245" s="111">
        <v>0</v>
      </c>
      <c r="H245" s="111">
        <v>6</v>
      </c>
      <c r="I245" s="111">
        <v>4</v>
      </c>
      <c r="J245" s="105">
        <f t="shared" ref="J245" si="158">H245-I245</f>
        <v>2</v>
      </c>
      <c r="K245" s="117">
        <v>435</v>
      </c>
      <c r="L245" s="106">
        <f t="shared" ref="L245" si="159">J245*K245</f>
        <v>870</v>
      </c>
      <c r="M245" s="106">
        <f t="shared" ref="M245" si="160">L245*18%</f>
        <v>156.6</v>
      </c>
      <c r="N245" s="106">
        <f t="shared" ref="N245" si="161">L245+M245</f>
        <v>1026.5999999999999</v>
      </c>
    </row>
    <row r="246" spans="2:14" ht="37.5" customHeight="1" x14ac:dyDescent="0.5">
      <c r="B246" s="185">
        <v>44517</v>
      </c>
      <c r="C246" s="122" t="s">
        <v>96</v>
      </c>
      <c r="D246" s="103">
        <v>45775</v>
      </c>
      <c r="E246" s="183" t="s">
        <v>454</v>
      </c>
      <c r="F246" s="111" t="s">
        <v>51</v>
      </c>
      <c r="G246" s="111">
        <v>0</v>
      </c>
      <c r="H246" s="111">
        <f>10+10</f>
        <v>20</v>
      </c>
      <c r="I246" s="111">
        <f>13+1+1+1</f>
        <v>16</v>
      </c>
      <c r="J246" s="105">
        <f t="shared" si="157"/>
        <v>4</v>
      </c>
      <c r="K246" s="117">
        <v>2100</v>
      </c>
      <c r="L246" s="106">
        <f t="shared" si="154"/>
        <v>8400</v>
      </c>
      <c r="M246" s="106">
        <f t="shared" si="155"/>
        <v>1512</v>
      </c>
      <c r="N246" s="106">
        <f t="shared" si="156"/>
        <v>9912</v>
      </c>
    </row>
    <row r="247" spans="2:14" ht="30" customHeight="1" x14ac:dyDescent="0.5">
      <c r="B247" s="185">
        <v>44517</v>
      </c>
      <c r="C247" s="122" t="s">
        <v>104</v>
      </c>
      <c r="D247" s="103">
        <v>45775</v>
      </c>
      <c r="E247" s="183" t="s">
        <v>265</v>
      </c>
      <c r="F247" s="111" t="s">
        <v>51</v>
      </c>
      <c r="G247" s="111">
        <v>0</v>
      </c>
      <c r="H247" s="111">
        <f>5+1</f>
        <v>6</v>
      </c>
      <c r="I247" s="111">
        <f>4+1+1</f>
        <v>6</v>
      </c>
      <c r="J247" s="105">
        <f>H247-I247</f>
        <v>0</v>
      </c>
      <c r="K247" s="117">
        <v>180</v>
      </c>
      <c r="L247" s="106">
        <f t="shared" si="154"/>
        <v>0</v>
      </c>
      <c r="M247" s="106">
        <f t="shared" si="155"/>
        <v>0</v>
      </c>
      <c r="N247" s="106">
        <f t="shared" si="156"/>
        <v>0</v>
      </c>
    </row>
    <row r="248" spans="2:14" x14ac:dyDescent="0.5">
      <c r="B248" s="185">
        <v>44517</v>
      </c>
      <c r="C248" s="122" t="s">
        <v>93</v>
      </c>
      <c r="D248" s="103">
        <v>45404</v>
      </c>
      <c r="E248" s="183" t="s">
        <v>54</v>
      </c>
      <c r="F248" s="111" t="s">
        <v>376</v>
      </c>
      <c r="G248" s="111">
        <v>0</v>
      </c>
      <c r="H248" s="111">
        <f>100+10</f>
        <v>110</v>
      </c>
      <c r="I248" s="111">
        <f>45+6+2+2</f>
        <v>55</v>
      </c>
      <c r="J248" s="105">
        <f>H248-I248</f>
        <v>55</v>
      </c>
      <c r="K248" s="117">
        <v>110</v>
      </c>
      <c r="L248" s="106">
        <f t="shared" si="154"/>
        <v>6050</v>
      </c>
      <c r="M248" s="106">
        <f t="shared" si="155"/>
        <v>1089</v>
      </c>
      <c r="N248" s="106">
        <f t="shared" si="156"/>
        <v>7139</v>
      </c>
    </row>
    <row r="249" spans="2:14" x14ac:dyDescent="0.5">
      <c r="B249" s="185">
        <v>43999</v>
      </c>
      <c r="C249" s="122" t="s">
        <v>105</v>
      </c>
      <c r="D249" s="184">
        <v>43999</v>
      </c>
      <c r="E249" s="183" t="s">
        <v>55</v>
      </c>
      <c r="F249" s="111" t="s">
        <v>51</v>
      </c>
      <c r="G249" s="111">
        <v>0</v>
      </c>
      <c r="H249" s="111">
        <v>5</v>
      </c>
      <c r="I249" s="111">
        <v>5</v>
      </c>
      <c r="J249" s="105">
        <f t="shared" si="157"/>
        <v>0</v>
      </c>
      <c r="K249" s="117">
        <v>125</v>
      </c>
      <c r="L249" s="106">
        <f t="shared" si="154"/>
        <v>0</v>
      </c>
      <c r="M249" s="106">
        <f t="shared" si="155"/>
        <v>0</v>
      </c>
      <c r="N249" s="106">
        <f t="shared" si="156"/>
        <v>0</v>
      </c>
    </row>
    <row r="250" spans="2:14" ht="30.75" customHeight="1" x14ac:dyDescent="0.5">
      <c r="B250" s="185">
        <v>43999</v>
      </c>
      <c r="C250" s="122" t="s">
        <v>106</v>
      </c>
      <c r="D250" s="184">
        <v>43999</v>
      </c>
      <c r="E250" s="183" t="s">
        <v>56</v>
      </c>
      <c r="F250" s="111" t="s">
        <v>51</v>
      </c>
      <c r="G250" s="111">
        <v>0</v>
      </c>
      <c r="H250" s="111">
        <v>5</v>
      </c>
      <c r="I250" s="111">
        <v>5</v>
      </c>
      <c r="J250" s="105">
        <f t="shared" si="157"/>
        <v>0</v>
      </c>
      <c r="K250" s="117">
        <v>120</v>
      </c>
      <c r="L250" s="106">
        <f t="shared" si="154"/>
        <v>0</v>
      </c>
      <c r="M250" s="106">
        <f t="shared" si="155"/>
        <v>0</v>
      </c>
      <c r="N250" s="106">
        <f t="shared" si="156"/>
        <v>0</v>
      </c>
    </row>
    <row r="251" spans="2:14" ht="30" customHeight="1" x14ac:dyDescent="0.5">
      <c r="B251" s="185">
        <v>43999</v>
      </c>
      <c r="C251" s="122" t="s">
        <v>107</v>
      </c>
      <c r="D251" s="184">
        <v>43999</v>
      </c>
      <c r="E251" s="183" t="s">
        <v>57</v>
      </c>
      <c r="F251" s="111" t="s">
        <v>51</v>
      </c>
      <c r="G251" s="111">
        <v>0</v>
      </c>
      <c r="H251" s="111">
        <v>5</v>
      </c>
      <c r="I251" s="111">
        <v>5</v>
      </c>
      <c r="J251" s="105">
        <f t="shared" si="157"/>
        <v>0</v>
      </c>
      <c r="K251" s="117">
        <v>120</v>
      </c>
      <c r="L251" s="106">
        <f t="shared" si="154"/>
        <v>0</v>
      </c>
      <c r="M251" s="106">
        <f t="shared" si="155"/>
        <v>0</v>
      </c>
      <c r="N251" s="106">
        <f t="shared" si="156"/>
        <v>0</v>
      </c>
    </row>
    <row r="252" spans="2:14" ht="27.75" customHeight="1" x14ac:dyDescent="0.5">
      <c r="B252" s="185">
        <v>44517</v>
      </c>
      <c r="C252" s="122" t="s">
        <v>108</v>
      </c>
      <c r="D252" s="103">
        <v>45771</v>
      </c>
      <c r="E252" s="183" t="s">
        <v>58</v>
      </c>
      <c r="F252" s="111" t="s">
        <v>59</v>
      </c>
      <c r="G252" s="111">
        <v>0</v>
      </c>
      <c r="H252" s="111">
        <v>100</v>
      </c>
      <c r="I252" s="111">
        <f>24+1+1+1+1+1+1+1+1+1+1+2+1+1+1+1+1+1</f>
        <v>42</v>
      </c>
      <c r="J252" s="105">
        <f t="shared" si="157"/>
        <v>58</v>
      </c>
      <c r="K252" s="117">
        <v>350</v>
      </c>
      <c r="L252" s="106">
        <f t="shared" si="154"/>
        <v>20300</v>
      </c>
      <c r="M252" s="106">
        <f t="shared" si="155"/>
        <v>3654</v>
      </c>
      <c r="N252" s="106">
        <f t="shared" si="156"/>
        <v>23954</v>
      </c>
    </row>
    <row r="253" spans="2:14" x14ac:dyDescent="0.5">
      <c r="B253" s="185">
        <v>43999</v>
      </c>
      <c r="C253" s="122" t="s">
        <v>109</v>
      </c>
      <c r="D253" s="184">
        <v>43999</v>
      </c>
      <c r="E253" s="183" t="s">
        <v>61</v>
      </c>
      <c r="F253" s="111" t="s">
        <v>59</v>
      </c>
      <c r="G253" s="111">
        <v>0</v>
      </c>
      <c r="H253" s="111">
        <v>2</v>
      </c>
      <c r="I253" s="111">
        <v>2</v>
      </c>
      <c r="J253" s="105">
        <f t="shared" si="157"/>
        <v>0</v>
      </c>
      <c r="K253" s="117">
        <v>2480</v>
      </c>
      <c r="L253" s="106">
        <f t="shared" si="154"/>
        <v>0</v>
      </c>
      <c r="M253" s="106">
        <f t="shared" si="155"/>
        <v>0</v>
      </c>
      <c r="N253" s="106">
        <f t="shared" si="156"/>
        <v>0</v>
      </c>
    </row>
    <row r="254" spans="2:14" x14ac:dyDescent="0.5">
      <c r="B254" s="185">
        <v>43999</v>
      </c>
      <c r="C254" s="122" t="s">
        <v>89</v>
      </c>
      <c r="D254" s="184">
        <v>43999</v>
      </c>
      <c r="E254" s="183" t="s">
        <v>133</v>
      </c>
      <c r="F254" s="111" t="s">
        <v>51</v>
      </c>
      <c r="G254" s="111">
        <v>0</v>
      </c>
      <c r="H254" s="111">
        <v>3</v>
      </c>
      <c r="I254" s="111">
        <v>3</v>
      </c>
      <c r="J254" s="105">
        <f t="shared" si="157"/>
        <v>0</v>
      </c>
      <c r="K254" s="117">
        <v>280</v>
      </c>
      <c r="L254" s="106">
        <f t="shared" si="154"/>
        <v>0</v>
      </c>
      <c r="M254" s="106">
        <f t="shared" si="155"/>
        <v>0</v>
      </c>
      <c r="N254" s="106">
        <f t="shared" si="156"/>
        <v>0</v>
      </c>
    </row>
    <row r="255" spans="2:14" x14ac:dyDescent="0.5">
      <c r="B255" s="185" t="s">
        <v>403</v>
      </c>
      <c r="C255" s="122" t="s">
        <v>89</v>
      </c>
      <c r="D255" s="184">
        <v>45177</v>
      </c>
      <c r="E255" s="183" t="s">
        <v>404</v>
      </c>
      <c r="F255" s="111" t="s">
        <v>51</v>
      </c>
      <c r="G255" s="111">
        <v>0</v>
      </c>
      <c r="H255" s="111">
        <v>10</v>
      </c>
      <c r="I255" s="111">
        <v>1</v>
      </c>
      <c r="J255" s="105">
        <f t="shared" ref="J255" si="162">H255-I255</f>
        <v>9</v>
      </c>
      <c r="K255" s="117">
        <v>177</v>
      </c>
      <c r="L255" s="106">
        <f t="shared" ref="L255" si="163">J255*K255</f>
        <v>1593</v>
      </c>
      <c r="M255" s="106">
        <f t="shared" ref="M255" si="164">L255*18%</f>
        <v>286.74</v>
      </c>
      <c r="N255" s="106">
        <f t="shared" ref="N255" si="165">L255+M255</f>
        <v>1879.74</v>
      </c>
    </row>
    <row r="256" spans="2:14" x14ac:dyDescent="0.5">
      <c r="B256" s="268">
        <v>43999</v>
      </c>
      <c r="C256" s="122" t="s">
        <v>110</v>
      </c>
      <c r="D256" s="269">
        <v>43999</v>
      </c>
      <c r="E256" s="116" t="s">
        <v>60</v>
      </c>
      <c r="F256" s="111" t="s">
        <v>51</v>
      </c>
      <c r="G256" s="111">
        <v>0</v>
      </c>
      <c r="H256" s="111">
        <v>5</v>
      </c>
      <c r="I256" s="111">
        <v>5</v>
      </c>
      <c r="J256" s="111">
        <f t="shared" si="157"/>
        <v>0</v>
      </c>
      <c r="K256" s="117">
        <v>120</v>
      </c>
      <c r="L256" s="117">
        <f t="shared" si="154"/>
        <v>0</v>
      </c>
      <c r="M256" s="117">
        <f t="shared" si="155"/>
        <v>0</v>
      </c>
      <c r="N256" s="117">
        <f t="shared" si="156"/>
        <v>0</v>
      </c>
    </row>
    <row r="257" spans="2:16" ht="30" customHeight="1" x14ac:dyDescent="0.5">
      <c r="B257" s="186"/>
      <c r="C257" s="131"/>
      <c r="D257" s="190"/>
      <c r="E257" s="191" t="s">
        <v>36</v>
      </c>
      <c r="F257" s="131"/>
      <c r="G257" s="131"/>
      <c r="H257" s="131"/>
      <c r="I257" s="131"/>
      <c r="J257" s="131"/>
      <c r="K257" s="131"/>
      <c r="L257" s="131"/>
      <c r="M257" s="131"/>
      <c r="N257" s="192">
        <f>SUM(N240,N205,N33,N25,N20,N15)</f>
        <v>1396631.4188200003</v>
      </c>
    </row>
    <row r="258" spans="2:16" x14ac:dyDescent="0.5">
      <c r="B258" s="193"/>
      <c r="C258" s="194"/>
      <c r="D258" s="195"/>
      <c r="E258" s="196"/>
      <c r="F258" s="194"/>
      <c r="G258" s="194"/>
      <c r="H258" s="194"/>
      <c r="I258" s="194"/>
      <c r="J258" s="194"/>
      <c r="K258" s="194"/>
      <c r="L258" s="194"/>
      <c r="M258" s="194"/>
      <c r="N258" s="194"/>
    </row>
    <row r="259" spans="2:16" x14ac:dyDescent="0.5">
      <c r="B259" s="193"/>
      <c r="C259" s="198"/>
      <c r="D259" s="199"/>
      <c r="E259" s="200"/>
      <c r="F259" s="201" t="s">
        <v>125</v>
      </c>
      <c r="G259" s="201"/>
      <c r="H259" s="198"/>
      <c r="I259" s="198"/>
      <c r="J259" s="198"/>
      <c r="K259" s="198"/>
      <c r="L259" s="198"/>
      <c r="M259" s="198"/>
      <c r="N259" s="198"/>
    </row>
    <row r="260" spans="2:16" ht="21.75" customHeight="1" x14ac:dyDescent="0.5">
      <c r="B260" s="193"/>
      <c r="C260" s="198"/>
      <c r="D260" s="199"/>
      <c r="E260" s="200"/>
      <c r="F260" s="194"/>
      <c r="G260" s="194"/>
      <c r="H260" s="198"/>
      <c r="I260" s="198"/>
      <c r="J260" s="198"/>
      <c r="K260" s="198"/>
      <c r="L260" s="198"/>
      <c r="M260" s="198"/>
      <c r="N260" s="198"/>
    </row>
    <row r="261" spans="2:16" x14ac:dyDescent="0.5">
      <c r="B261" s="193"/>
      <c r="C261" s="198"/>
      <c r="D261" s="199"/>
      <c r="E261" s="200"/>
      <c r="F261" s="201" t="s">
        <v>120</v>
      </c>
      <c r="G261" s="201"/>
      <c r="H261" s="198"/>
      <c r="I261" s="198"/>
      <c r="J261" s="198"/>
      <c r="K261" s="198"/>
      <c r="L261" s="198"/>
      <c r="M261" s="198"/>
      <c r="N261" s="198"/>
    </row>
    <row r="262" spans="2:16" ht="13.5" customHeight="1" x14ac:dyDescent="0.5">
      <c r="B262" s="193"/>
      <c r="C262" s="202" t="s">
        <v>391</v>
      </c>
      <c r="D262" s="195"/>
      <c r="E262" s="203"/>
      <c r="F262" s="198"/>
      <c r="G262" s="198"/>
      <c r="H262" s="194"/>
      <c r="I262" s="194"/>
      <c r="J262" s="202"/>
      <c r="K262" s="202"/>
      <c r="L262" s="202"/>
      <c r="M262" s="202"/>
      <c r="N262" s="198"/>
      <c r="O262" s="82"/>
      <c r="P262" s="82"/>
    </row>
    <row r="263" spans="2:16" ht="21.75" customHeight="1" x14ac:dyDescent="0.5">
      <c r="B263" s="193"/>
      <c r="C263" s="198"/>
      <c r="D263" s="199"/>
      <c r="E263" s="200"/>
      <c r="F263" s="198"/>
      <c r="G263" s="198"/>
      <c r="H263" s="198"/>
      <c r="I263" s="198"/>
      <c r="J263" s="198"/>
      <c r="K263" s="198" t="s">
        <v>119</v>
      </c>
      <c r="L263" s="202"/>
      <c r="M263" s="202"/>
      <c r="N263" s="198"/>
    </row>
    <row r="264" spans="2:16" ht="22.5" customHeight="1" x14ac:dyDescent="0.5">
      <c r="B264" s="193"/>
      <c r="C264" s="198"/>
      <c r="D264" s="204" t="s">
        <v>27</v>
      </c>
      <c r="E264" s="200" t="s">
        <v>398</v>
      </c>
      <c r="F264" s="198"/>
      <c r="G264" s="198"/>
      <c r="H264" s="280" t="s">
        <v>264</v>
      </c>
      <c r="I264" s="280"/>
      <c r="J264" s="198"/>
      <c r="K264" s="198"/>
      <c r="L264" s="198"/>
      <c r="M264" s="198"/>
      <c r="N264" s="198"/>
    </row>
    <row r="265" spans="2:16" ht="15.75" customHeight="1" x14ac:dyDescent="0.5">
      <c r="B265" s="193"/>
      <c r="C265" s="198"/>
      <c r="D265" s="205"/>
      <c r="E265" s="197"/>
      <c r="F265" s="194"/>
      <c r="G265" s="194"/>
      <c r="H265" s="194"/>
      <c r="I265" s="194"/>
      <c r="J265" s="194"/>
      <c r="K265" s="198"/>
      <c r="L265" s="198"/>
      <c r="M265" s="198"/>
      <c r="N265" s="198"/>
    </row>
    <row r="266" spans="2:16" x14ac:dyDescent="0.5">
      <c r="B266" s="193"/>
      <c r="C266" s="198"/>
      <c r="D266" s="195"/>
      <c r="E266" s="197"/>
      <c r="F266" s="194"/>
      <c r="G266" s="194"/>
      <c r="H266" s="194"/>
      <c r="I266" s="194"/>
      <c r="J266" s="194"/>
      <c r="K266" s="198"/>
      <c r="L266" s="198"/>
      <c r="M266" s="198"/>
      <c r="N266" s="198"/>
    </row>
    <row r="267" spans="2:16" ht="32.25" thickBot="1" x14ac:dyDescent="0.55000000000000004">
      <c r="B267" s="193"/>
      <c r="C267" s="198"/>
      <c r="D267" s="199"/>
      <c r="E267" s="217" t="s">
        <v>423</v>
      </c>
      <c r="F267" s="198"/>
      <c r="G267" s="276" t="s">
        <v>396</v>
      </c>
      <c r="H267" s="276"/>
      <c r="I267" s="276"/>
      <c r="J267" s="276"/>
      <c r="K267" s="276"/>
      <c r="L267" s="198"/>
      <c r="M267" s="198"/>
      <c r="N267" s="198"/>
    </row>
    <row r="268" spans="2:16" x14ac:dyDescent="0.5">
      <c r="B268" s="193"/>
      <c r="C268" s="198"/>
      <c r="D268" s="199"/>
      <c r="E268" s="208" t="s">
        <v>426</v>
      </c>
      <c r="F268" s="206"/>
      <c r="G268" s="275" t="s">
        <v>263</v>
      </c>
      <c r="H268" s="275"/>
      <c r="I268" s="275"/>
      <c r="J268" s="275"/>
      <c r="K268" s="275"/>
      <c r="L268" s="198"/>
      <c r="M268" s="198"/>
      <c r="N268" s="198"/>
    </row>
    <row r="273" spans="11:15" x14ac:dyDescent="0.5">
      <c r="K273" s="98"/>
      <c r="L273" s="98"/>
      <c r="M273" s="98"/>
      <c r="N273" s="98"/>
      <c r="O273" s="99"/>
    </row>
  </sheetData>
  <mergeCells count="14">
    <mergeCell ref="G268:K268"/>
    <mergeCell ref="G267:K267"/>
    <mergeCell ref="I1:N7"/>
    <mergeCell ref="E13:E14"/>
    <mergeCell ref="H264:I264"/>
    <mergeCell ref="B11:N11"/>
    <mergeCell ref="B8:N8"/>
    <mergeCell ref="D15:E15"/>
    <mergeCell ref="D205:E205"/>
    <mergeCell ref="D240:E240"/>
    <mergeCell ref="D33:F33"/>
    <mergeCell ref="B20:F20"/>
    <mergeCell ref="B25:F25"/>
    <mergeCell ref="G13:N13"/>
  </mergeCells>
  <phoneticPr fontId="18" type="noConversion"/>
  <pageMargins left="0.23622047244094491" right="0.23622047244094491" top="0.74803149606299213" bottom="0.74803149606299213" header="0.31496062992125984" footer="0.31496062992125984"/>
  <pageSetup paperSize="5" scale="50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"/>
  <sheetViews>
    <sheetView topLeftCell="E25" zoomScale="140" zoomScaleNormal="140" workbookViewId="0">
      <selection activeCell="D52" sqref="D52"/>
    </sheetView>
  </sheetViews>
  <sheetFormatPr baseColWidth="10" defaultColWidth="11.42578125" defaultRowHeight="15" x14ac:dyDescent="0.25"/>
  <cols>
    <col min="1" max="1" width="12.5703125" customWidth="1"/>
    <col min="2" max="2" width="11.7109375" customWidth="1"/>
    <col min="3" max="3" width="10.28515625" customWidth="1"/>
    <col min="4" max="4" width="55.85546875" style="28" customWidth="1"/>
    <col min="5" max="5" width="1.7109375" customWidth="1"/>
    <col min="6" max="6" width="8.140625" customWidth="1"/>
    <col min="7" max="7" width="7.140625" style="32" customWidth="1"/>
    <col min="8" max="8" width="6.140625" style="32" customWidth="1"/>
    <col min="9" max="9" width="7.28515625" style="32" customWidth="1"/>
    <col min="10" max="10" width="11.42578125" style="32"/>
    <col min="11" max="11" width="10.28515625" customWidth="1"/>
  </cols>
  <sheetData>
    <row r="1" spans="1:14" ht="18" customHeight="1" x14ac:dyDescent="0.25">
      <c r="A1" s="1" t="s">
        <v>27</v>
      </c>
      <c r="B1" s="1"/>
      <c r="C1" s="1"/>
      <c r="D1" s="27"/>
      <c r="F1" s="22"/>
      <c r="G1" s="30"/>
      <c r="H1" s="11"/>
      <c r="I1" s="11"/>
      <c r="J1" s="11"/>
      <c r="K1" s="11"/>
      <c r="L1" s="11"/>
      <c r="M1" s="25"/>
    </row>
    <row r="2" spans="1:14" x14ac:dyDescent="0.25">
      <c r="B2" s="22"/>
      <c r="F2" s="22"/>
      <c r="G2" s="30"/>
      <c r="H2" s="11"/>
      <c r="I2" s="11"/>
      <c r="J2" s="11"/>
      <c r="K2" s="11"/>
      <c r="L2" s="11"/>
      <c r="M2" s="25"/>
    </row>
    <row r="3" spans="1:14" ht="17.25" x14ac:dyDescent="0.25">
      <c r="A3" s="2" t="s">
        <v>28</v>
      </c>
      <c r="B3" s="2"/>
      <c r="C3" s="2"/>
      <c r="D3" s="29"/>
      <c r="F3" s="22"/>
      <c r="G3" s="30"/>
      <c r="H3" s="11"/>
      <c r="I3" s="11"/>
      <c r="J3" s="11"/>
      <c r="K3" s="11"/>
      <c r="L3" s="11"/>
      <c r="M3" s="25"/>
    </row>
    <row r="4" spans="1:14" x14ac:dyDescent="0.25">
      <c r="B4" s="22"/>
      <c r="F4" s="22"/>
      <c r="G4" s="30"/>
      <c r="H4" s="11"/>
      <c r="I4" s="11"/>
      <c r="J4" s="11"/>
      <c r="K4" s="11"/>
      <c r="L4" s="11"/>
      <c r="M4" s="25"/>
    </row>
    <row r="5" spans="1:14" x14ac:dyDescent="0.25">
      <c r="B5" s="22"/>
      <c r="F5" s="22"/>
      <c r="G5" s="30"/>
      <c r="H5" s="11"/>
      <c r="I5" s="11"/>
      <c r="J5" s="11"/>
      <c r="K5" s="11"/>
      <c r="L5" s="11"/>
      <c r="M5" s="25"/>
    </row>
    <row r="6" spans="1:14" ht="17.25" x14ac:dyDescent="0.25">
      <c r="B6" s="2"/>
      <c r="C6" s="2"/>
      <c r="D6" s="29"/>
      <c r="F6" s="22"/>
      <c r="G6" s="30"/>
      <c r="H6" s="11"/>
      <c r="I6" s="11"/>
      <c r="J6" s="11"/>
      <c r="K6" s="11"/>
      <c r="L6" s="11"/>
      <c r="M6" s="25"/>
    </row>
    <row r="7" spans="1:14" ht="23.25" x14ac:dyDescent="0.25">
      <c r="A7" s="36" t="s">
        <v>197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</row>
    <row r="8" spans="1:14" ht="17.25" x14ac:dyDescent="0.25">
      <c r="A8" s="2" t="s">
        <v>29</v>
      </c>
      <c r="B8" s="2" t="s">
        <v>118</v>
      </c>
      <c r="C8" s="2" t="s">
        <v>200</v>
      </c>
      <c r="E8" s="8"/>
      <c r="F8" s="10"/>
      <c r="G8" s="31"/>
      <c r="H8" s="31"/>
      <c r="I8" s="33"/>
      <c r="J8" s="34"/>
      <c r="K8" s="24"/>
      <c r="L8" s="24"/>
      <c r="M8" s="22"/>
    </row>
    <row r="9" spans="1:14" ht="17.25" customHeight="1" x14ac:dyDescent="0.25">
      <c r="A9" s="37" t="s">
        <v>349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</row>
    <row r="10" spans="1:14" ht="15" customHeight="1" x14ac:dyDescent="0.25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</row>
    <row r="11" spans="1:14" ht="15.75" customHeight="1" thickBot="1" x14ac:dyDescent="0.3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</row>
    <row r="12" spans="1:14" ht="22.5" x14ac:dyDescent="0.25">
      <c r="A12" s="39" t="s">
        <v>39</v>
      </c>
      <c r="B12" s="39" t="s">
        <v>37</v>
      </c>
      <c r="C12" s="39" t="s">
        <v>39</v>
      </c>
      <c r="D12" s="40" t="s">
        <v>49</v>
      </c>
      <c r="E12" s="41"/>
      <c r="F12" s="42" t="s">
        <v>0</v>
      </c>
      <c r="G12" s="64"/>
      <c r="H12" s="65"/>
      <c r="I12" s="66" t="s">
        <v>1</v>
      </c>
      <c r="J12" s="64"/>
      <c r="K12" s="67"/>
      <c r="L12" s="67"/>
      <c r="M12" s="68"/>
    </row>
    <row r="13" spans="1:14" ht="22.5" x14ac:dyDescent="0.25">
      <c r="A13" s="69" t="s">
        <v>124</v>
      </c>
      <c r="B13" s="69" t="s">
        <v>38</v>
      </c>
      <c r="C13" s="69" t="s">
        <v>126</v>
      </c>
      <c r="D13" s="70"/>
      <c r="E13" s="71"/>
      <c r="F13" s="72" t="s">
        <v>50</v>
      </c>
      <c r="G13" s="69" t="s">
        <v>2</v>
      </c>
      <c r="H13" s="69" t="s">
        <v>3</v>
      </c>
      <c r="I13" s="69" t="s">
        <v>4</v>
      </c>
      <c r="J13" s="69" t="s">
        <v>31</v>
      </c>
      <c r="K13" s="72" t="s">
        <v>32</v>
      </c>
      <c r="L13" s="73" t="s">
        <v>30</v>
      </c>
      <c r="M13" s="73" t="s">
        <v>5</v>
      </c>
    </row>
    <row r="14" spans="1:14" x14ac:dyDescent="0.25">
      <c r="A14" s="55"/>
      <c r="B14" s="56"/>
      <c r="C14" s="57"/>
      <c r="D14" s="58" t="s">
        <v>269</v>
      </c>
      <c r="E14" s="74"/>
      <c r="F14" s="59"/>
      <c r="G14" s="59"/>
      <c r="H14" s="59"/>
      <c r="I14" s="59"/>
      <c r="J14" s="59"/>
      <c r="K14" s="59"/>
      <c r="L14" s="75"/>
      <c r="M14" s="75"/>
      <c r="N14" s="63"/>
    </row>
    <row r="15" spans="1:14" x14ac:dyDescent="0.25">
      <c r="A15" s="9">
        <v>44550</v>
      </c>
      <c r="B15" s="12" t="s">
        <v>270</v>
      </c>
      <c r="C15" s="20">
        <v>44546</v>
      </c>
      <c r="D15" s="51" t="s">
        <v>271</v>
      </c>
      <c r="E15" s="52"/>
      <c r="F15" s="13" t="s">
        <v>51</v>
      </c>
      <c r="G15" s="15">
        <v>2</v>
      </c>
      <c r="H15" s="15">
        <v>2</v>
      </c>
      <c r="I15" s="15">
        <f t="shared" ref="I15:I31" si="0">G15-H15</f>
        <v>0</v>
      </c>
      <c r="J15" s="15">
        <v>1442.97</v>
      </c>
      <c r="K15" s="19">
        <f t="shared" ref="K15:K31" si="1">I15*J15</f>
        <v>0</v>
      </c>
      <c r="L15" s="19">
        <f t="shared" ref="L15:L31" si="2">K15*18%</f>
        <v>0</v>
      </c>
      <c r="M15" s="19">
        <f t="shared" ref="M15:M31" si="3">K15+L15</f>
        <v>0</v>
      </c>
    </row>
    <row r="16" spans="1:14" x14ac:dyDescent="0.25">
      <c r="A16" s="9">
        <v>44550</v>
      </c>
      <c r="B16" s="12" t="s">
        <v>272</v>
      </c>
      <c r="C16" s="20">
        <v>44546</v>
      </c>
      <c r="D16" s="51" t="s">
        <v>273</v>
      </c>
      <c r="E16" s="52"/>
      <c r="F16" s="13" t="s">
        <v>51</v>
      </c>
      <c r="G16" s="15">
        <v>4</v>
      </c>
      <c r="H16" s="15">
        <v>1</v>
      </c>
      <c r="I16" s="15">
        <f t="shared" si="0"/>
        <v>3</v>
      </c>
      <c r="J16" s="15">
        <v>1095</v>
      </c>
      <c r="K16" s="19">
        <f t="shared" si="1"/>
        <v>3285</v>
      </c>
      <c r="L16" s="19">
        <f t="shared" si="2"/>
        <v>591.29999999999995</v>
      </c>
      <c r="M16" s="19">
        <f t="shared" si="3"/>
        <v>3876.3</v>
      </c>
    </row>
    <row r="17" spans="1:13" ht="16.5" customHeight="1" x14ac:dyDescent="0.25">
      <c r="A17" s="9">
        <v>44550</v>
      </c>
      <c r="B17" s="7" t="s">
        <v>169</v>
      </c>
      <c r="C17" s="35" t="s">
        <v>152</v>
      </c>
      <c r="D17" s="44" t="s">
        <v>161</v>
      </c>
      <c r="E17" s="44"/>
      <c r="F17" s="3" t="s">
        <v>51</v>
      </c>
      <c r="G17" s="45">
        <v>5</v>
      </c>
      <c r="H17" s="45">
        <v>5</v>
      </c>
      <c r="I17" s="3">
        <f t="shared" si="0"/>
        <v>0</v>
      </c>
      <c r="J17" s="6">
        <v>148.30000000000001</v>
      </c>
      <c r="K17" s="5">
        <f t="shared" si="1"/>
        <v>0</v>
      </c>
      <c r="L17" s="5">
        <f t="shared" si="2"/>
        <v>0</v>
      </c>
      <c r="M17" s="5">
        <f t="shared" si="3"/>
        <v>0</v>
      </c>
    </row>
    <row r="18" spans="1:13" ht="17.25" customHeight="1" x14ac:dyDescent="0.25">
      <c r="A18" s="9">
        <v>44550</v>
      </c>
      <c r="B18" s="7" t="s">
        <v>170</v>
      </c>
      <c r="C18" s="35" t="s">
        <v>152</v>
      </c>
      <c r="D18" s="44" t="s">
        <v>162</v>
      </c>
      <c r="E18" s="44"/>
      <c r="F18" s="3" t="s">
        <v>51</v>
      </c>
      <c r="G18" s="45">
        <v>2</v>
      </c>
      <c r="H18" s="45">
        <v>2</v>
      </c>
      <c r="I18" s="3">
        <f t="shared" si="0"/>
        <v>0</v>
      </c>
      <c r="J18" s="6">
        <v>67.790000000000006</v>
      </c>
      <c r="K18" s="5">
        <f t="shared" si="1"/>
        <v>0</v>
      </c>
      <c r="L18" s="5">
        <f t="shared" si="2"/>
        <v>0</v>
      </c>
      <c r="M18" s="5">
        <f t="shared" si="3"/>
        <v>0</v>
      </c>
    </row>
    <row r="19" spans="1:13" x14ac:dyDescent="0.25">
      <c r="A19" s="9">
        <v>44550</v>
      </c>
      <c r="B19" s="26">
        <v>24112401</v>
      </c>
      <c r="C19" s="20">
        <v>44546</v>
      </c>
      <c r="D19" s="53" t="s">
        <v>274</v>
      </c>
      <c r="E19" s="54"/>
      <c r="F19" s="23" t="s">
        <v>51</v>
      </c>
      <c r="G19" s="23">
        <v>2</v>
      </c>
      <c r="H19" s="23">
        <v>0</v>
      </c>
      <c r="I19" s="15">
        <f t="shared" si="0"/>
        <v>2</v>
      </c>
      <c r="J19" s="23">
        <v>1161.3</v>
      </c>
      <c r="K19" s="19">
        <f t="shared" si="1"/>
        <v>2322.6</v>
      </c>
      <c r="L19" s="19">
        <f t="shared" si="2"/>
        <v>418.06799999999998</v>
      </c>
      <c r="M19" s="19">
        <f t="shared" si="3"/>
        <v>2740.6679999999997</v>
      </c>
    </row>
    <row r="20" spans="1:13" ht="17.25" customHeight="1" x14ac:dyDescent="0.25">
      <c r="A20" s="9">
        <v>44550</v>
      </c>
      <c r="B20" s="7" t="s">
        <v>153</v>
      </c>
      <c r="C20" s="35" t="s">
        <v>152</v>
      </c>
      <c r="D20" s="44" t="s">
        <v>155</v>
      </c>
      <c r="E20" s="44"/>
      <c r="F20" s="3" t="s">
        <v>51</v>
      </c>
      <c r="G20" s="45">
        <v>10</v>
      </c>
      <c r="H20" s="45">
        <v>10</v>
      </c>
      <c r="I20" s="3">
        <f t="shared" si="0"/>
        <v>0</v>
      </c>
      <c r="J20" s="6">
        <v>343.94</v>
      </c>
      <c r="K20" s="5">
        <f t="shared" si="1"/>
        <v>0</v>
      </c>
      <c r="L20" s="5">
        <f t="shared" si="2"/>
        <v>0</v>
      </c>
      <c r="M20" s="5">
        <f t="shared" si="3"/>
        <v>0</v>
      </c>
    </row>
    <row r="21" spans="1:13" x14ac:dyDescent="0.25">
      <c r="A21" s="9">
        <v>44550</v>
      </c>
      <c r="B21" s="7" t="s">
        <v>74</v>
      </c>
      <c r="C21" s="35">
        <v>43048</v>
      </c>
      <c r="D21" s="46" t="s">
        <v>15</v>
      </c>
      <c r="E21" s="46"/>
      <c r="F21" s="3" t="s">
        <v>51</v>
      </c>
      <c r="G21" s="3">
        <v>1</v>
      </c>
      <c r="H21" s="3">
        <v>1</v>
      </c>
      <c r="I21" s="3">
        <f t="shared" si="0"/>
        <v>0</v>
      </c>
      <c r="J21" s="5">
        <v>2298.08</v>
      </c>
      <c r="K21" s="5">
        <f t="shared" si="1"/>
        <v>0</v>
      </c>
      <c r="L21" s="5">
        <f t="shared" si="2"/>
        <v>0</v>
      </c>
      <c r="M21" s="5">
        <f t="shared" si="3"/>
        <v>0</v>
      </c>
    </row>
    <row r="22" spans="1:13" ht="15.75" customHeight="1" x14ac:dyDescent="0.25">
      <c r="A22" s="9">
        <v>44550</v>
      </c>
      <c r="B22" s="7" t="s">
        <v>163</v>
      </c>
      <c r="C22" s="35" t="s">
        <v>152</v>
      </c>
      <c r="D22" s="44" t="s">
        <v>157</v>
      </c>
      <c r="E22" s="44"/>
      <c r="F22" s="3" t="s">
        <v>51</v>
      </c>
      <c r="G22" s="45">
        <v>4</v>
      </c>
      <c r="H22" s="45">
        <v>4</v>
      </c>
      <c r="I22" s="3">
        <f t="shared" si="0"/>
        <v>0</v>
      </c>
      <c r="J22" s="6">
        <v>22.51</v>
      </c>
      <c r="K22" s="5">
        <f t="shared" si="1"/>
        <v>0</v>
      </c>
      <c r="L22" s="5">
        <f t="shared" si="2"/>
        <v>0</v>
      </c>
      <c r="M22" s="5">
        <f t="shared" si="3"/>
        <v>0</v>
      </c>
    </row>
    <row r="23" spans="1:13" ht="12.75" customHeight="1" x14ac:dyDescent="0.25">
      <c r="A23" s="9">
        <v>44550</v>
      </c>
      <c r="B23" s="7" t="s">
        <v>164</v>
      </c>
      <c r="C23" s="35" t="s">
        <v>152</v>
      </c>
      <c r="D23" s="44" t="s">
        <v>158</v>
      </c>
      <c r="E23" s="44"/>
      <c r="F23" s="3" t="s">
        <v>51</v>
      </c>
      <c r="G23" s="45">
        <v>5</v>
      </c>
      <c r="H23" s="45">
        <v>5</v>
      </c>
      <c r="I23" s="3">
        <f t="shared" si="0"/>
        <v>0</v>
      </c>
      <c r="J23" s="6">
        <v>254.24</v>
      </c>
      <c r="K23" s="5">
        <f t="shared" si="1"/>
        <v>0</v>
      </c>
      <c r="L23" s="5">
        <f t="shared" si="2"/>
        <v>0</v>
      </c>
      <c r="M23" s="5">
        <f t="shared" si="3"/>
        <v>0</v>
      </c>
    </row>
    <row r="24" spans="1:13" ht="11.25" customHeight="1" x14ac:dyDescent="0.25">
      <c r="A24" s="9">
        <v>44550</v>
      </c>
      <c r="B24" s="7" t="s">
        <v>165</v>
      </c>
      <c r="C24" s="35" t="s">
        <v>152</v>
      </c>
      <c r="D24" s="44" t="s">
        <v>159</v>
      </c>
      <c r="E24" s="44"/>
      <c r="F24" s="3" t="s">
        <v>51</v>
      </c>
      <c r="G24" s="45">
        <v>1</v>
      </c>
      <c r="H24" s="45">
        <v>1</v>
      </c>
      <c r="I24" s="3">
        <f t="shared" si="0"/>
        <v>0</v>
      </c>
      <c r="J24" s="6">
        <v>336.2</v>
      </c>
      <c r="K24" s="5">
        <f t="shared" si="1"/>
        <v>0</v>
      </c>
      <c r="L24" s="5">
        <f t="shared" si="2"/>
        <v>0</v>
      </c>
      <c r="M24" s="5">
        <f t="shared" si="3"/>
        <v>0</v>
      </c>
    </row>
    <row r="25" spans="1:13" ht="12" customHeight="1" x14ac:dyDescent="0.25">
      <c r="A25" s="9">
        <v>44550</v>
      </c>
      <c r="B25" s="7" t="s">
        <v>166</v>
      </c>
      <c r="C25" s="35" t="s">
        <v>152</v>
      </c>
      <c r="D25" s="44" t="s">
        <v>302</v>
      </c>
      <c r="E25" s="44"/>
      <c r="F25" s="3" t="s">
        <v>51</v>
      </c>
      <c r="G25" s="45">
        <v>1</v>
      </c>
      <c r="H25" s="45">
        <v>1</v>
      </c>
      <c r="I25" s="3">
        <f t="shared" si="0"/>
        <v>0</v>
      </c>
      <c r="J25" s="6">
        <v>690.67</v>
      </c>
      <c r="K25" s="5">
        <f t="shared" si="1"/>
        <v>0</v>
      </c>
      <c r="L25" s="5">
        <f t="shared" si="2"/>
        <v>0</v>
      </c>
      <c r="M25" s="5">
        <f t="shared" si="3"/>
        <v>0</v>
      </c>
    </row>
    <row r="26" spans="1:13" ht="12.75" customHeight="1" x14ac:dyDescent="0.25">
      <c r="A26" s="9">
        <v>44550</v>
      </c>
      <c r="B26" s="7" t="s">
        <v>154</v>
      </c>
      <c r="C26" s="35" t="s">
        <v>152</v>
      </c>
      <c r="D26" s="44" t="s">
        <v>156</v>
      </c>
      <c r="E26" s="44"/>
      <c r="F26" s="3" t="s">
        <v>51</v>
      </c>
      <c r="G26" s="45">
        <v>1</v>
      </c>
      <c r="H26" s="45">
        <v>1</v>
      </c>
      <c r="I26" s="3">
        <f t="shared" si="0"/>
        <v>0</v>
      </c>
      <c r="J26" s="6">
        <v>15693.08</v>
      </c>
      <c r="K26" s="5">
        <f t="shared" si="1"/>
        <v>0</v>
      </c>
      <c r="L26" s="5">
        <f t="shared" si="2"/>
        <v>0</v>
      </c>
      <c r="M26" s="5">
        <f t="shared" si="3"/>
        <v>0</v>
      </c>
    </row>
    <row r="27" spans="1:13" ht="14.25" customHeight="1" x14ac:dyDescent="0.25">
      <c r="A27" s="9">
        <v>44550</v>
      </c>
      <c r="B27" s="26">
        <v>46181531</v>
      </c>
      <c r="C27" s="20">
        <v>44546</v>
      </c>
      <c r="D27" s="53" t="s">
        <v>275</v>
      </c>
      <c r="E27" s="54"/>
      <c r="F27" s="23" t="s">
        <v>51</v>
      </c>
      <c r="G27" s="23">
        <v>2</v>
      </c>
      <c r="H27" s="23">
        <v>0</v>
      </c>
      <c r="I27" s="15">
        <f t="shared" si="0"/>
        <v>2</v>
      </c>
      <c r="J27" s="23">
        <v>308.7</v>
      </c>
      <c r="K27" s="19">
        <f t="shared" si="1"/>
        <v>617.4</v>
      </c>
      <c r="L27" s="19">
        <f t="shared" si="2"/>
        <v>111.13199999999999</v>
      </c>
      <c r="M27" s="19">
        <f t="shared" si="3"/>
        <v>728.53199999999993</v>
      </c>
    </row>
    <row r="28" spans="1:13" x14ac:dyDescent="0.25">
      <c r="A28" s="9">
        <v>44550</v>
      </c>
      <c r="B28" s="26">
        <v>26121536</v>
      </c>
      <c r="C28" s="20">
        <v>44546</v>
      </c>
      <c r="D28" s="53" t="s">
        <v>277</v>
      </c>
      <c r="E28" s="54"/>
      <c r="F28" s="23" t="s">
        <v>51</v>
      </c>
      <c r="G28" s="23">
        <v>1</v>
      </c>
      <c r="H28" s="23">
        <v>0</v>
      </c>
      <c r="I28" s="15">
        <f t="shared" si="0"/>
        <v>1</v>
      </c>
      <c r="J28" s="23">
        <v>352</v>
      </c>
      <c r="K28" s="19">
        <f t="shared" si="1"/>
        <v>352</v>
      </c>
      <c r="L28" s="19">
        <f t="shared" si="2"/>
        <v>63.36</v>
      </c>
      <c r="M28" s="19">
        <f t="shared" si="3"/>
        <v>415.36</v>
      </c>
    </row>
    <row r="29" spans="1:13" x14ac:dyDescent="0.25">
      <c r="A29" s="9">
        <v>44550</v>
      </c>
      <c r="B29" s="26">
        <v>39101605</v>
      </c>
      <c r="C29" s="20">
        <v>44546</v>
      </c>
      <c r="D29" s="53" t="s">
        <v>276</v>
      </c>
      <c r="E29" s="54"/>
      <c r="F29" s="23" t="s">
        <v>51</v>
      </c>
      <c r="G29" s="23">
        <v>10</v>
      </c>
      <c r="H29" s="23">
        <v>0</v>
      </c>
      <c r="I29" s="15">
        <f t="shared" si="0"/>
        <v>10</v>
      </c>
      <c r="J29" s="23">
        <v>157.75</v>
      </c>
      <c r="K29" s="19">
        <f t="shared" si="1"/>
        <v>1577.5</v>
      </c>
      <c r="L29" s="19">
        <f t="shared" si="2"/>
        <v>283.95</v>
      </c>
      <c r="M29" s="19">
        <f t="shared" si="3"/>
        <v>1861.45</v>
      </c>
    </row>
    <row r="30" spans="1:13" x14ac:dyDescent="0.25">
      <c r="A30" s="9">
        <v>44550</v>
      </c>
      <c r="B30" s="12" t="s">
        <v>260</v>
      </c>
      <c r="C30" s="20">
        <v>44498</v>
      </c>
      <c r="D30" s="50" t="s">
        <v>261</v>
      </c>
      <c r="E30" s="50"/>
      <c r="F30" s="13" t="s">
        <v>51</v>
      </c>
      <c r="G30" s="13">
        <v>1</v>
      </c>
      <c r="H30" s="13">
        <v>1</v>
      </c>
      <c r="I30" s="15">
        <f t="shared" si="0"/>
        <v>0</v>
      </c>
      <c r="J30" s="13">
        <v>450</v>
      </c>
      <c r="K30" s="19">
        <f t="shared" si="1"/>
        <v>0</v>
      </c>
      <c r="L30" s="19">
        <f t="shared" si="2"/>
        <v>0</v>
      </c>
      <c r="M30" s="19">
        <f t="shared" si="3"/>
        <v>0</v>
      </c>
    </row>
    <row r="31" spans="1:13" x14ac:dyDescent="0.25">
      <c r="A31" s="9">
        <v>44550</v>
      </c>
      <c r="B31" s="21">
        <v>236304</v>
      </c>
      <c r="C31" s="20">
        <v>44498</v>
      </c>
      <c r="D31" s="18" t="s">
        <v>262</v>
      </c>
      <c r="E31" s="18"/>
      <c r="F31" s="21" t="s">
        <v>51</v>
      </c>
      <c r="G31" s="21">
        <v>1</v>
      </c>
      <c r="H31" s="21">
        <v>1</v>
      </c>
      <c r="I31" s="15">
        <f t="shared" si="0"/>
        <v>0</v>
      </c>
      <c r="J31" s="21">
        <v>638.4</v>
      </c>
      <c r="K31" s="19">
        <f t="shared" si="1"/>
        <v>0</v>
      </c>
      <c r="L31" s="19">
        <f t="shared" si="2"/>
        <v>0</v>
      </c>
      <c r="M31" s="19">
        <f t="shared" si="3"/>
        <v>0</v>
      </c>
    </row>
    <row r="32" spans="1:13" x14ac:dyDescent="0.25">
      <c r="A32" s="9">
        <v>44390</v>
      </c>
      <c r="B32" s="7" t="s">
        <v>350</v>
      </c>
      <c r="C32" s="9">
        <v>44390</v>
      </c>
      <c r="D32" s="48" t="s">
        <v>351</v>
      </c>
      <c r="E32" s="48"/>
      <c r="F32" s="21" t="s">
        <v>51</v>
      </c>
      <c r="G32" s="21">
        <v>6</v>
      </c>
      <c r="H32" s="21">
        <v>6</v>
      </c>
      <c r="I32" s="15">
        <f t="shared" ref="I32" si="4">G32-H32</f>
        <v>0</v>
      </c>
      <c r="J32" s="21">
        <v>10280</v>
      </c>
      <c r="K32" s="19">
        <f t="shared" ref="K32" si="5">I32*J32</f>
        <v>0</v>
      </c>
      <c r="L32" s="19">
        <f t="shared" ref="L32" si="6">K32*18%</f>
        <v>0</v>
      </c>
      <c r="M32" s="19">
        <f t="shared" ref="M32" si="7">K32+L32</f>
        <v>0</v>
      </c>
    </row>
    <row r="33" spans="1:13" x14ac:dyDescent="0.25">
      <c r="A33" s="9">
        <v>44390</v>
      </c>
      <c r="B33" s="7" t="s">
        <v>353</v>
      </c>
      <c r="C33" s="9">
        <v>44390</v>
      </c>
      <c r="D33" s="48" t="s">
        <v>352</v>
      </c>
      <c r="E33" s="48"/>
      <c r="F33" s="21" t="s">
        <v>51</v>
      </c>
      <c r="G33" s="21">
        <v>4</v>
      </c>
      <c r="H33" s="21">
        <v>3</v>
      </c>
      <c r="I33" s="15">
        <f t="shared" ref="I33" si="8">G33-H33</f>
        <v>1</v>
      </c>
      <c r="J33" s="21">
        <v>10748.8</v>
      </c>
      <c r="K33" s="19">
        <f t="shared" ref="K33" si="9">I33*J33</f>
        <v>10748.8</v>
      </c>
      <c r="L33" s="19">
        <f t="shared" ref="L33" si="10">K33*18%</f>
        <v>1934.7839999999999</v>
      </c>
      <c r="M33" s="19">
        <f t="shared" ref="M33" si="11">K33+L33</f>
        <v>12683.583999999999</v>
      </c>
    </row>
    <row r="34" spans="1:13" x14ac:dyDescent="0.25">
      <c r="A34" s="9">
        <v>44390</v>
      </c>
      <c r="B34" s="7" t="s">
        <v>353</v>
      </c>
      <c r="C34" s="9">
        <v>44390</v>
      </c>
      <c r="D34" s="53" t="s">
        <v>354</v>
      </c>
      <c r="E34" s="54"/>
      <c r="F34" s="21" t="s">
        <v>51</v>
      </c>
      <c r="G34" s="21">
        <v>2</v>
      </c>
      <c r="H34" s="21">
        <v>2</v>
      </c>
      <c r="I34" s="15">
        <f t="shared" ref="I34" si="12">G34-H34</f>
        <v>0</v>
      </c>
      <c r="J34" s="21">
        <v>14007</v>
      </c>
      <c r="K34" s="19">
        <f t="shared" ref="K34" si="13">I34*J34</f>
        <v>0</v>
      </c>
      <c r="L34" s="19">
        <f t="shared" ref="L34" si="14">K34*18%</f>
        <v>0</v>
      </c>
      <c r="M34" s="19">
        <f t="shared" ref="M34" si="15">K34+L34</f>
        <v>0</v>
      </c>
    </row>
    <row r="35" spans="1:13" x14ac:dyDescent="0.25">
      <c r="A35" s="9">
        <v>44390</v>
      </c>
      <c r="B35" s="7" t="s">
        <v>353</v>
      </c>
      <c r="C35" s="9">
        <v>44390</v>
      </c>
      <c r="D35" s="53" t="s">
        <v>355</v>
      </c>
      <c r="E35" s="54"/>
      <c r="F35" s="21" t="s">
        <v>51</v>
      </c>
      <c r="G35" s="21">
        <v>1</v>
      </c>
      <c r="H35" s="21">
        <v>1</v>
      </c>
      <c r="I35" s="15">
        <f t="shared" ref="I35" si="16">G35-H35</f>
        <v>0</v>
      </c>
      <c r="J35" s="21">
        <v>1233</v>
      </c>
      <c r="K35" s="19">
        <f t="shared" ref="K35" si="17">I35*J35</f>
        <v>0</v>
      </c>
      <c r="L35" s="19">
        <f t="shared" ref="L35" si="18">K35*18%</f>
        <v>0</v>
      </c>
      <c r="M35" s="19">
        <f t="shared" ref="M35" si="19">K35+L35</f>
        <v>0</v>
      </c>
    </row>
    <row r="36" spans="1:13" x14ac:dyDescent="0.25">
      <c r="A36" s="9">
        <v>44390</v>
      </c>
      <c r="B36" s="7" t="s">
        <v>353</v>
      </c>
      <c r="C36" s="9">
        <v>44390</v>
      </c>
      <c r="D36" s="53" t="s">
        <v>356</v>
      </c>
      <c r="E36" s="54"/>
      <c r="F36" s="21" t="s">
        <v>51</v>
      </c>
      <c r="G36" s="21">
        <v>2</v>
      </c>
      <c r="H36" s="21">
        <v>2</v>
      </c>
      <c r="I36" s="15">
        <f t="shared" ref="I36" si="20">G36-H36</f>
        <v>0</v>
      </c>
      <c r="J36" s="21">
        <v>1818</v>
      </c>
      <c r="K36" s="19">
        <f t="shared" ref="K36" si="21">I36*J36</f>
        <v>0</v>
      </c>
      <c r="L36" s="19">
        <f t="shared" ref="L36" si="22">K36*18%</f>
        <v>0</v>
      </c>
      <c r="M36" s="19">
        <f t="shared" ref="M36" si="23">K36+L36</f>
        <v>0</v>
      </c>
    </row>
    <row r="37" spans="1:13" x14ac:dyDescent="0.25">
      <c r="A37" s="9">
        <v>44390</v>
      </c>
      <c r="B37" s="7" t="s">
        <v>353</v>
      </c>
      <c r="C37" s="9">
        <v>44390</v>
      </c>
      <c r="D37" s="53" t="s">
        <v>357</v>
      </c>
      <c r="E37" s="54"/>
      <c r="F37" s="21" t="s">
        <v>51</v>
      </c>
      <c r="G37" s="21">
        <v>4</v>
      </c>
      <c r="H37" s="21">
        <v>4</v>
      </c>
      <c r="I37" s="15">
        <f t="shared" ref="I37" si="24">G37-H37</f>
        <v>0</v>
      </c>
      <c r="J37" s="21">
        <v>145</v>
      </c>
      <c r="K37" s="19">
        <f t="shared" ref="K37" si="25">I37*J37</f>
        <v>0</v>
      </c>
      <c r="L37" s="19">
        <f t="shared" ref="L37" si="26">K37*18%</f>
        <v>0</v>
      </c>
      <c r="M37" s="19">
        <f t="shared" ref="M37" si="27">K37+L37</f>
        <v>0</v>
      </c>
    </row>
    <row r="38" spans="1:13" x14ac:dyDescent="0.25">
      <c r="A38" s="9">
        <v>44390</v>
      </c>
      <c r="B38" s="12" t="s">
        <v>358</v>
      </c>
      <c r="C38" s="9">
        <v>44390</v>
      </c>
      <c r="D38" s="50" t="s">
        <v>359</v>
      </c>
      <c r="E38" s="50"/>
      <c r="F38" s="21" t="s">
        <v>51</v>
      </c>
      <c r="G38" s="21">
        <v>4</v>
      </c>
      <c r="H38" s="21">
        <v>4</v>
      </c>
      <c r="I38" s="15">
        <f t="shared" ref="I38:I47" si="28">G38-H38</f>
        <v>0</v>
      </c>
      <c r="J38" s="21">
        <v>704</v>
      </c>
      <c r="K38" s="19">
        <f t="shared" ref="K38:K47" si="29">I38*J38</f>
        <v>0</v>
      </c>
      <c r="L38" s="19">
        <f t="shared" ref="L38:L47" si="30">K38*18%</f>
        <v>0</v>
      </c>
      <c r="M38" s="19">
        <f t="shared" ref="M38:M47" si="31">K38+L38</f>
        <v>0</v>
      </c>
    </row>
    <row r="39" spans="1:13" x14ac:dyDescent="0.25">
      <c r="A39" s="9">
        <v>44390</v>
      </c>
      <c r="B39" s="21">
        <v>39101605</v>
      </c>
      <c r="C39" s="9">
        <v>44390</v>
      </c>
      <c r="D39" s="18" t="s">
        <v>360</v>
      </c>
      <c r="E39" s="18"/>
      <c r="F39" s="21" t="s">
        <v>51</v>
      </c>
      <c r="G39" s="21">
        <v>6</v>
      </c>
      <c r="H39" s="21">
        <v>0</v>
      </c>
      <c r="I39" s="15">
        <f t="shared" si="28"/>
        <v>6</v>
      </c>
      <c r="J39" s="21">
        <v>225</v>
      </c>
      <c r="K39" s="19">
        <f t="shared" si="29"/>
        <v>1350</v>
      </c>
      <c r="L39" s="19">
        <f t="shared" si="30"/>
        <v>243</v>
      </c>
      <c r="M39" s="19">
        <f t="shared" si="31"/>
        <v>1593</v>
      </c>
    </row>
    <row r="40" spans="1:13" x14ac:dyDescent="0.25">
      <c r="A40" s="9">
        <v>44390</v>
      </c>
      <c r="B40" s="7" t="s">
        <v>361</v>
      </c>
      <c r="C40" s="9">
        <v>44390</v>
      </c>
      <c r="D40" s="60" t="s">
        <v>362</v>
      </c>
      <c r="E40" s="48"/>
      <c r="F40" s="21" t="s">
        <v>51</v>
      </c>
      <c r="G40" s="21">
        <v>3</v>
      </c>
      <c r="H40" s="21">
        <v>0</v>
      </c>
      <c r="I40" s="15">
        <f t="shared" si="28"/>
        <v>3</v>
      </c>
      <c r="J40" s="21">
        <v>984</v>
      </c>
      <c r="K40" s="19">
        <f t="shared" si="29"/>
        <v>2952</v>
      </c>
      <c r="L40" s="19">
        <f t="shared" si="30"/>
        <v>531.36</v>
      </c>
      <c r="M40" s="19">
        <f t="shared" si="31"/>
        <v>3483.36</v>
      </c>
    </row>
    <row r="41" spans="1:13" x14ac:dyDescent="0.25">
      <c r="A41" s="9">
        <v>44390</v>
      </c>
      <c r="B41" s="7" t="s">
        <v>363</v>
      </c>
      <c r="C41" s="9">
        <v>44390</v>
      </c>
      <c r="D41" s="60" t="s">
        <v>364</v>
      </c>
      <c r="E41" s="48"/>
      <c r="F41" s="21" t="s">
        <v>51</v>
      </c>
      <c r="G41" s="21">
        <v>2</v>
      </c>
      <c r="H41" s="21">
        <v>1</v>
      </c>
      <c r="I41" s="15">
        <f t="shared" si="28"/>
        <v>1</v>
      </c>
      <c r="J41" s="21">
        <v>2320</v>
      </c>
      <c r="K41" s="19">
        <f t="shared" si="29"/>
        <v>2320</v>
      </c>
      <c r="L41" s="19">
        <f t="shared" si="30"/>
        <v>417.59999999999997</v>
      </c>
      <c r="M41" s="19">
        <f t="shared" si="31"/>
        <v>2737.6</v>
      </c>
    </row>
    <row r="42" spans="1:13" x14ac:dyDescent="0.25">
      <c r="A42" s="9">
        <v>44390</v>
      </c>
      <c r="B42" s="7" t="s">
        <v>363</v>
      </c>
      <c r="C42" s="9">
        <v>44390</v>
      </c>
      <c r="D42" s="60" t="s">
        <v>365</v>
      </c>
      <c r="E42" s="48"/>
      <c r="F42" s="21" t="s">
        <v>51</v>
      </c>
      <c r="G42" s="21">
        <v>2</v>
      </c>
      <c r="H42" s="21">
        <v>1</v>
      </c>
      <c r="I42" s="15">
        <f t="shared" si="28"/>
        <v>1</v>
      </c>
      <c r="J42" s="21">
        <v>602</v>
      </c>
      <c r="K42" s="19">
        <f t="shared" si="29"/>
        <v>602</v>
      </c>
      <c r="L42" s="19">
        <f t="shared" si="30"/>
        <v>108.36</v>
      </c>
      <c r="M42" s="19">
        <f t="shared" si="31"/>
        <v>710.36</v>
      </c>
    </row>
    <row r="43" spans="1:13" x14ac:dyDescent="0.25">
      <c r="A43" s="9">
        <v>44390</v>
      </c>
      <c r="B43" s="7" t="s">
        <v>366</v>
      </c>
      <c r="C43" s="9">
        <v>44390</v>
      </c>
      <c r="D43" s="60" t="s">
        <v>367</v>
      </c>
      <c r="E43" s="48"/>
      <c r="F43" s="21" t="s">
        <v>51</v>
      </c>
      <c r="G43" s="21">
        <v>2</v>
      </c>
      <c r="H43" s="21">
        <v>0</v>
      </c>
      <c r="I43" s="15">
        <f t="shared" si="28"/>
        <v>2</v>
      </c>
      <c r="J43" s="21">
        <v>718</v>
      </c>
      <c r="K43" s="19">
        <f t="shared" si="29"/>
        <v>1436</v>
      </c>
      <c r="L43" s="19">
        <f t="shared" si="30"/>
        <v>258.48</v>
      </c>
      <c r="M43" s="19">
        <f t="shared" si="31"/>
        <v>1694.48</v>
      </c>
    </row>
    <row r="44" spans="1:13" x14ac:dyDescent="0.25">
      <c r="A44" s="9">
        <v>44390</v>
      </c>
      <c r="B44" s="7" t="s">
        <v>368</v>
      </c>
      <c r="C44" s="9">
        <v>44390</v>
      </c>
      <c r="D44" s="60" t="s">
        <v>369</v>
      </c>
      <c r="E44" s="48"/>
      <c r="F44" s="21" t="s">
        <v>51</v>
      </c>
      <c r="G44" s="21">
        <v>3</v>
      </c>
      <c r="H44" s="21">
        <v>0</v>
      </c>
      <c r="I44" s="15">
        <f t="shared" si="28"/>
        <v>3</v>
      </c>
      <c r="J44" s="21">
        <v>2162</v>
      </c>
      <c r="K44" s="19">
        <f t="shared" si="29"/>
        <v>6486</v>
      </c>
      <c r="L44" s="19">
        <f t="shared" si="30"/>
        <v>1167.48</v>
      </c>
      <c r="M44" s="19">
        <f t="shared" si="31"/>
        <v>7653.48</v>
      </c>
    </row>
    <row r="45" spans="1:13" x14ac:dyDescent="0.25">
      <c r="A45" s="9">
        <v>44390</v>
      </c>
      <c r="B45" s="7" t="s">
        <v>370</v>
      </c>
      <c r="C45" s="9">
        <v>44390</v>
      </c>
      <c r="D45" s="60" t="s">
        <v>371</v>
      </c>
      <c r="E45" s="48"/>
      <c r="F45" s="21" t="s">
        <v>51</v>
      </c>
      <c r="G45" s="21">
        <v>4</v>
      </c>
      <c r="H45" s="21">
        <v>0</v>
      </c>
      <c r="I45" s="15">
        <f t="shared" si="28"/>
        <v>4</v>
      </c>
      <c r="J45" s="21">
        <v>580</v>
      </c>
      <c r="K45" s="19">
        <f t="shared" si="29"/>
        <v>2320</v>
      </c>
      <c r="L45" s="19">
        <f t="shared" si="30"/>
        <v>417.59999999999997</v>
      </c>
      <c r="M45" s="19">
        <f t="shared" si="31"/>
        <v>2737.6</v>
      </c>
    </row>
    <row r="46" spans="1:13" x14ac:dyDescent="0.25">
      <c r="A46" s="9">
        <v>44390</v>
      </c>
      <c r="B46" s="7" t="s">
        <v>372</v>
      </c>
      <c r="C46" s="9">
        <v>44390</v>
      </c>
      <c r="D46" s="60" t="s">
        <v>373</v>
      </c>
      <c r="E46" s="48"/>
      <c r="F46" s="21" t="s">
        <v>51</v>
      </c>
      <c r="G46" s="21">
        <v>3</v>
      </c>
      <c r="H46" s="21">
        <v>0</v>
      </c>
      <c r="I46" s="15">
        <f t="shared" si="28"/>
        <v>3</v>
      </c>
      <c r="J46" s="21">
        <v>1965</v>
      </c>
      <c r="K46" s="19">
        <f t="shared" si="29"/>
        <v>5895</v>
      </c>
      <c r="L46" s="19">
        <f t="shared" si="30"/>
        <v>1061.0999999999999</v>
      </c>
      <c r="M46" s="19">
        <f t="shared" si="31"/>
        <v>6956.1</v>
      </c>
    </row>
    <row r="47" spans="1:13" x14ac:dyDescent="0.25">
      <c r="A47" s="9">
        <v>44390</v>
      </c>
      <c r="B47" s="7" t="s">
        <v>372</v>
      </c>
      <c r="C47" s="9">
        <v>44390</v>
      </c>
      <c r="D47" s="61" t="s">
        <v>374</v>
      </c>
      <c r="E47" s="62"/>
      <c r="F47" s="21" t="s">
        <v>51</v>
      </c>
      <c r="G47" s="21">
        <v>1</v>
      </c>
      <c r="H47" s="21">
        <v>0</v>
      </c>
      <c r="I47" s="15">
        <f t="shared" si="28"/>
        <v>1</v>
      </c>
      <c r="J47" s="21">
        <v>580</v>
      </c>
      <c r="K47" s="19">
        <f t="shared" si="29"/>
        <v>580</v>
      </c>
      <c r="L47" s="19">
        <f t="shared" si="30"/>
        <v>104.39999999999999</v>
      </c>
      <c r="M47" s="19">
        <f t="shared" si="31"/>
        <v>684.4</v>
      </c>
    </row>
    <row r="48" spans="1:13" x14ac:dyDescent="0.25">
      <c r="A48" s="9">
        <v>44788</v>
      </c>
      <c r="B48" s="7" t="s">
        <v>372</v>
      </c>
      <c r="C48" s="9">
        <v>44788</v>
      </c>
      <c r="D48" s="60"/>
      <c r="E48" s="48"/>
      <c r="F48" s="3"/>
      <c r="G48" s="16"/>
      <c r="H48" s="16"/>
      <c r="I48" s="16"/>
      <c r="J48" s="17"/>
      <c r="K48" s="5"/>
      <c r="L48" s="5"/>
      <c r="M48" s="5"/>
    </row>
    <row r="49" spans="1:14" x14ac:dyDescent="0.25">
      <c r="A49" s="9"/>
      <c r="B49" s="7"/>
      <c r="C49" s="9"/>
      <c r="D49" s="60"/>
      <c r="E49" s="48"/>
      <c r="F49" s="3"/>
      <c r="G49" s="16"/>
      <c r="H49" s="16"/>
      <c r="I49" s="16"/>
      <c r="J49" s="17"/>
      <c r="K49" s="5"/>
      <c r="L49" s="5"/>
      <c r="M49" s="5"/>
    </row>
    <row r="50" spans="1:14" x14ac:dyDescent="0.25">
      <c r="A50" s="9">
        <v>44007</v>
      </c>
      <c r="B50" s="7" t="s">
        <v>314</v>
      </c>
      <c r="C50" s="35">
        <v>43217</v>
      </c>
      <c r="D50" s="49" t="s">
        <v>315</v>
      </c>
      <c r="E50" s="47"/>
      <c r="F50" s="3" t="s">
        <v>51</v>
      </c>
      <c r="G50" s="3">
        <v>1</v>
      </c>
      <c r="H50" s="3">
        <v>1</v>
      </c>
      <c r="I50" s="3">
        <v>0</v>
      </c>
      <c r="J50" s="13">
        <f t="shared" ref="J50:J51" si="32">+H50-I50</f>
        <v>1</v>
      </c>
      <c r="K50" s="14">
        <v>4733.1400000000003</v>
      </c>
      <c r="L50" s="5">
        <f t="shared" ref="L50:L51" si="33">J50*K50</f>
        <v>4733.1400000000003</v>
      </c>
      <c r="M50" s="5">
        <f t="shared" ref="M50:M51" si="34">L50*18%</f>
        <v>851.96519999999998</v>
      </c>
      <c r="N50" s="5">
        <f t="shared" ref="N50:N51" si="35">L50+M50</f>
        <v>5585.1052</v>
      </c>
    </row>
    <row r="51" spans="1:14" x14ac:dyDescent="0.25">
      <c r="A51" s="9">
        <v>44007</v>
      </c>
      <c r="B51" s="7" t="s">
        <v>314</v>
      </c>
      <c r="C51" s="35">
        <v>43217</v>
      </c>
      <c r="D51" s="49" t="s">
        <v>316</v>
      </c>
      <c r="E51" s="47"/>
      <c r="F51" s="3" t="s">
        <v>51</v>
      </c>
      <c r="G51" s="3">
        <v>1</v>
      </c>
      <c r="H51" s="3">
        <v>1</v>
      </c>
      <c r="I51" s="3">
        <v>0</v>
      </c>
      <c r="J51" s="13">
        <f t="shared" si="32"/>
        <v>1</v>
      </c>
      <c r="K51" s="14">
        <v>4733.1400000000003</v>
      </c>
      <c r="L51" s="5">
        <f t="shared" si="33"/>
        <v>4733.1400000000003</v>
      </c>
      <c r="M51" s="5">
        <f t="shared" si="34"/>
        <v>851.96519999999998</v>
      </c>
      <c r="N51" s="5">
        <f t="shared" si="35"/>
        <v>5585.1052</v>
      </c>
    </row>
    <row r="52" spans="1:14" x14ac:dyDescent="0.25">
      <c r="A52" s="9">
        <v>44550</v>
      </c>
      <c r="B52" s="7" t="s">
        <v>86</v>
      </c>
      <c r="C52" s="35" t="s">
        <v>80</v>
      </c>
      <c r="D52" s="49" t="s">
        <v>324</v>
      </c>
      <c r="E52" s="47"/>
      <c r="F52" s="3" t="s">
        <v>51</v>
      </c>
      <c r="G52" s="3">
        <v>1</v>
      </c>
      <c r="H52" s="3">
        <v>2</v>
      </c>
      <c r="I52" s="3">
        <v>1</v>
      </c>
      <c r="J52" s="43">
        <f t="shared" ref="J52:J57" si="36">H52-I52</f>
        <v>1</v>
      </c>
      <c r="K52" s="5">
        <v>1570</v>
      </c>
      <c r="L52" s="4">
        <f t="shared" ref="L52:L57" si="37">J52*K52</f>
        <v>1570</v>
      </c>
      <c r="M52" s="4">
        <f t="shared" ref="M52:M57" si="38">L52*18%</f>
        <v>282.59999999999997</v>
      </c>
      <c r="N52" s="4">
        <f t="shared" ref="N52:N57" si="39">L52+M52</f>
        <v>1852.6</v>
      </c>
    </row>
    <row r="53" spans="1:14" x14ac:dyDescent="0.25">
      <c r="A53" s="9">
        <v>44550</v>
      </c>
      <c r="B53" s="7" t="s">
        <v>87</v>
      </c>
      <c r="C53" s="35" t="s">
        <v>80</v>
      </c>
      <c r="D53" s="49" t="s">
        <v>325</v>
      </c>
      <c r="E53" s="47"/>
      <c r="F53" s="3" t="s">
        <v>51</v>
      </c>
      <c r="G53" s="3">
        <v>2</v>
      </c>
      <c r="H53" s="3">
        <v>2</v>
      </c>
      <c r="I53" s="3">
        <v>0</v>
      </c>
      <c r="J53" s="43">
        <f t="shared" si="36"/>
        <v>2</v>
      </c>
      <c r="K53" s="5">
        <v>1840</v>
      </c>
      <c r="L53" s="4">
        <f t="shared" si="37"/>
        <v>3680</v>
      </c>
      <c r="M53" s="4">
        <f t="shared" si="38"/>
        <v>662.4</v>
      </c>
      <c r="N53" s="4">
        <f t="shared" si="39"/>
        <v>4342.3999999999996</v>
      </c>
    </row>
    <row r="54" spans="1:14" x14ac:dyDescent="0.25">
      <c r="A54" s="9">
        <v>44550</v>
      </c>
      <c r="B54" s="7" t="s">
        <v>86</v>
      </c>
      <c r="C54" s="35" t="s">
        <v>80</v>
      </c>
      <c r="D54" s="49" t="s">
        <v>326</v>
      </c>
      <c r="E54" s="47"/>
      <c r="F54" s="3" t="s">
        <v>51</v>
      </c>
      <c r="G54" s="3">
        <v>1</v>
      </c>
      <c r="H54" s="3">
        <v>2</v>
      </c>
      <c r="I54" s="3">
        <v>1</v>
      </c>
      <c r="J54" s="43">
        <f t="shared" si="36"/>
        <v>1</v>
      </c>
      <c r="K54" s="5">
        <v>1570</v>
      </c>
      <c r="L54" s="4">
        <f t="shared" si="37"/>
        <v>1570</v>
      </c>
      <c r="M54" s="4">
        <f t="shared" si="38"/>
        <v>282.59999999999997</v>
      </c>
      <c r="N54" s="4">
        <f t="shared" si="39"/>
        <v>1852.6</v>
      </c>
    </row>
    <row r="55" spans="1:14" x14ac:dyDescent="0.25">
      <c r="A55" s="9">
        <v>44550</v>
      </c>
      <c r="B55" s="7" t="s">
        <v>87</v>
      </c>
      <c r="C55" s="35" t="s">
        <v>80</v>
      </c>
      <c r="D55" s="49" t="s">
        <v>327</v>
      </c>
      <c r="E55" s="47"/>
      <c r="F55" s="3" t="s">
        <v>51</v>
      </c>
      <c r="G55" s="3">
        <v>1</v>
      </c>
      <c r="H55" s="3">
        <v>2</v>
      </c>
      <c r="I55" s="3">
        <v>1</v>
      </c>
      <c r="J55" s="43">
        <f t="shared" si="36"/>
        <v>1</v>
      </c>
      <c r="K55" s="5">
        <v>1840</v>
      </c>
      <c r="L55" s="4">
        <f t="shared" si="37"/>
        <v>1840</v>
      </c>
      <c r="M55" s="4">
        <f t="shared" si="38"/>
        <v>331.2</v>
      </c>
      <c r="N55" s="4">
        <f t="shared" si="39"/>
        <v>2171.1999999999998</v>
      </c>
    </row>
    <row r="56" spans="1:14" x14ac:dyDescent="0.25">
      <c r="A56" s="9">
        <v>44550</v>
      </c>
      <c r="B56" s="7" t="s">
        <v>86</v>
      </c>
      <c r="C56" s="35" t="s">
        <v>80</v>
      </c>
      <c r="D56" s="49" t="s">
        <v>328</v>
      </c>
      <c r="E56" s="47"/>
      <c r="F56" s="3" t="s">
        <v>51</v>
      </c>
      <c r="G56" s="3">
        <v>2</v>
      </c>
      <c r="H56" s="3">
        <v>2</v>
      </c>
      <c r="I56" s="3">
        <v>0</v>
      </c>
      <c r="J56" s="43">
        <f t="shared" si="36"/>
        <v>2</v>
      </c>
      <c r="K56" s="5">
        <v>1570</v>
      </c>
      <c r="L56" s="4">
        <f t="shared" si="37"/>
        <v>3140</v>
      </c>
      <c r="M56" s="4">
        <f t="shared" si="38"/>
        <v>565.19999999999993</v>
      </c>
      <c r="N56" s="4">
        <f t="shared" si="39"/>
        <v>3705.2</v>
      </c>
    </row>
    <row r="57" spans="1:14" x14ac:dyDescent="0.25">
      <c r="A57" s="9">
        <v>44550</v>
      </c>
      <c r="B57" s="7" t="s">
        <v>87</v>
      </c>
      <c r="C57" s="35" t="s">
        <v>80</v>
      </c>
      <c r="D57" s="49" t="s">
        <v>329</v>
      </c>
      <c r="E57" s="47"/>
      <c r="F57" s="3" t="s">
        <v>51</v>
      </c>
      <c r="G57" s="3">
        <v>0</v>
      </c>
      <c r="H57" s="3">
        <v>2</v>
      </c>
      <c r="I57" s="3">
        <v>2</v>
      </c>
      <c r="J57" s="43">
        <f t="shared" si="36"/>
        <v>0</v>
      </c>
      <c r="K57" s="5">
        <v>1840</v>
      </c>
      <c r="L57" s="4">
        <f t="shared" si="37"/>
        <v>0</v>
      </c>
      <c r="M57" s="4">
        <f t="shared" si="38"/>
        <v>0</v>
      </c>
      <c r="N57" s="4">
        <f t="shared" si="39"/>
        <v>0</v>
      </c>
    </row>
    <row r="98" spans="2:2" x14ac:dyDescent="0.25">
      <c r="B98" t="e">
        <f>E98:Q139</f>
        <v>#VALUE!</v>
      </c>
    </row>
  </sheetData>
  <pageMargins left="0.7" right="0.7" top="0.75" bottom="0.75" header="0.3" footer="0.3"/>
  <pageSetup paperSize="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31"/>
  <sheetViews>
    <sheetView topLeftCell="A22" workbookViewId="0">
      <selection activeCell="B31" sqref="B31"/>
    </sheetView>
  </sheetViews>
  <sheetFormatPr baseColWidth="10" defaultRowHeight="15" x14ac:dyDescent="0.25"/>
  <cols>
    <col min="1" max="1" width="11.42578125" customWidth="1"/>
    <col min="2" max="2" width="50.28515625" customWidth="1"/>
    <col min="3" max="3" width="13.5703125" hidden="1" customWidth="1"/>
    <col min="4" max="4" width="9.28515625" hidden="1" customWidth="1"/>
    <col min="5" max="5" width="10" hidden="1" customWidth="1"/>
    <col min="6" max="6" width="0.140625" hidden="1" customWidth="1"/>
    <col min="7" max="7" width="14" customWidth="1"/>
  </cols>
  <sheetData>
    <row r="4" spans="2:7" ht="18.75" x14ac:dyDescent="0.25">
      <c r="B4" s="255" t="s">
        <v>278</v>
      </c>
      <c r="C4" s="171"/>
      <c r="D4" s="171"/>
      <c r="E4" s="171"/>
      <c r="F4" s="253"/>
      <c r="G4" s="292" t="s">
        <v>466</v>
      </c>
    </row>
    <row r="5" spans="2:7" ht="18.75" x14ac:dyDescent="0.25">
      <c r="B5" s="256" t="s">
        <v>445</v>
      </c>
      <c r="C5" s="111" t="s">
        <v>51</v>
      </c>
      <c r="D5" s="111">
        <v>2</v>
      </c>
      <c r="E5" s="148">
        <v>14</v>
      </c>
      <c r="F5" s="254">
        <v>11</v>
      </c>
      <c r="G5" s="292"/>
    </row>
    <row r="6" spans="2:7" ht="18.75" x14ac:dyDescent="0.25">
      <c r="B6" s="256" t="s">
        <v>303</v>
      </c>
      <c r="C6" s="111" t="s">
        <v>51</v>
      </c>
      <c r="D6" s="111">
        <v>2</v>
      </c>
      <c r="E6" s="148">
        <v>14</v>
      </c>
      <c r="F6" s="254">
        <v>12</v>
      </c>
      <c r="G6" s="292"/>
    </row>
    <row r="7" spans="2:7" ht="18.75" x14ac:dyDescent="0.25">
      <c r="B7" s="257" t="s">
        <v>446</v>
      </c>
      <c r="C7" s="111" t="s">
        <v>51</v>
      </c>
      <c r="D7" s="111">
        <v>3</v>
      </c>
      <c r="E7" s="148">
        <v>14</v>
      </c>
      <c r="F7" s="254">
        <v>10</v>
      </c>
      <c r="G7" s="292"/>
    </row>
    <row r="8" spans="2:7" ht="18.75" x14ac:dyDescent="0.25">
      <c r="B8" s="256" t="s">
        <v>342</v>
      </c>
      <c r="C8" s="111" t="s">
        <v>51</v>
      </c>
      <c r="D8" s="111">
        <v>10</v>
      </c>
      <c r="E8" s="148">
        <v>14</v>
      </c>
      <c r="F8" s="254">
        <v>9</v>
      </c>
      <c r="G8" s="292"/>
    </row>
    <row r="10" spans="2:7" ht="18.75" customHeight="1" x14ac:dyDescent="0.25">
      <c r="B10" s="293" t="s">
        <v>387</v>
      </c>
      <c r="G10" s="291">
        <v>4</v>
      </c>
    </row>
    <row r="11" spans="2:7" x14ac:dyDescent="0.25">
      <c r="B11" s="293"/>
      <c r="G11" s="291"/>
    </row>
    <row r="13" spans="2:7" ht="15.75" x14ac:dyDescent="0.25">
      <c r="B13" s="258" t="str">
        <f>'INVENTARIO ABRIL'!E166</f>
        <v xml:space="preserve">TONER CANON 132 CB543A ROJO </v>
      </c>
      <c r="C13" s="54"/>
      <c r="D13" s="54"/>
      <c r="E13" s="54"/>
      <c r="F13" s="54"/>
      <c r="G13" s="294">
        <v>3</v>
      </c>
    </row>
    <row r="14" spans="2:7" ht="15.75" x14ac:dyDescent="0.25">
      <c r="B14" s="258" t="str">
        <f>'INVENTARIO ABRIL'!E167</f>
        <v>TONER CANON 132 CB542A AMARILLO</v>
      </c>
      <c r="C14" s="54"/>
      <c r="D14" s="54"/>
      <c r="E14" s="54"/>
      <c r="F14" s="54"/>
      <c r="G14" s="295"/>
    </row>
    <row r="15" spans="2:7" ht="15.75" x14ac:dyDescent="0.25">
      <c r="B15" s="258" t="str">
        <f>'INVENTARIO ABRIL'!E168</f>
        <v>TONER CANON 132 CB541A AZUL</v>
      </c>
      <c r="C15" s="54"/>
      <c r="D15" s="54"/>
      <c r="E15" s="54"/>
      <c r="F15" s="54"/>
      <c r="G15" s="295"/>
    </row>
    <row r="16" spans="2:7" ht="15.75" x14ac:dyDescent="0.25">
      <c r="B16" s="258" t="str">
        <f>'INVENTARIO ABRIL'!E169</f>
        <v>TONER CANON 132 CB540A NEGRO</v>
      </c>
      <c r="C16" s="54"/>
      <c r="D16" s="54"/>
      <c r="E16" s="54"/>
      <c r="F16" s="54"/>
      <c r="G16" s="296"/>
    </row>
    <row r="18" spans="2:7" ht="15.75" x14ac:dyDescent="0.25">
      <c r="B18" s="258" t="str">
        <f>'INVENTARIO ABRIL'!E170</f>
        <v>TONER CANON 131A COLOR NEGRO</v>
      </c>
      <c r="C18" s="54"/>
      <c r="D18" s="54"/>
      <c r="E18" s="54"/>
      <c r="F18" s="54"/>
      <c r="G18" s="291">
        <v>3</v>
      </c>
    </row>
    <row r="19" spans="2:7" ht="15.75" x14ac:dyDescent="0.25">
      <c r="B19" s="258" t="str">
        <f>'INVENTARIO ABRIL'!E171</f>
        <v>TONER CANON 131A COLOR AMARILLO</v>
      </c>
      <c r="C19" s="54"/>
      <c r="D19" s="54"/>
      <c r="E19" s="54"/>
      <c r="F19" s="54"/>
      <c r="G19" s="291"/>
    </row>
    <row r="20" spans="2:7" ht="15.75" x14ac:dyDescent="0.25">
      <c r="B20" s="258" t="str">
        <f>'INVENTARIO ABRIL'!E172</f>
        <v>TONER CANON 131A COLOR CYAN</v>
      </c>
      <c r="C20" s="54"/>
      <c r="D20" s="54"/>
      <c r="E20" s="54"/>
      <c r="F20" s="54"/>
      <c r="G20" s="291"/>
    </row>
    <row r="21" spans="2:7" ht="15.75" x14ac:dyDescent="0.25">
      <c r="B21" s="258" t="str">
        <f>'INVENTARIO ABRIL'!E173</f>
        <v>TONER CANON 131A COLOR MAGENTA</v>
      </c>
      <c r="C21" s="54"/>
      <c r="D21" s="54"/>
      <c r="E21" s="54"/>
      <c r="F21" s="54"/>
      <c r="G21" s="291"/>
    </row>
    <row r="23" spans="2:7" x14ac:dyDescent="0.25">
      <c r="B23" s="54" t="str">
        <f>'INVENTARIO ABRIL'!E174</f>
        <v xml:space="preserve">CARTUCHO 812XL, CYAN PARA  IMPRESORA EPSON </v>
      </c>
      <c r="C23" s="54"/>
      <c r="D23" s="54"/>
      <c r="E23" s="54"/>
      <c r="F23" s="54"/>
      <c r="G23" s="291">
        <v>8</v>
      </c>
    </row>
    <row r="24" spans="2:7" x14ac:dyDescent="0.25">
      <c r="B24" s="54" t="str">
        <f>'INVENTARIO ABRIL'!E175</f>
        <v xml:space="preserve">CARTUCHO 812XL, BLACK PARA  IMPRESORA EPSON </v>
      </c>
      <c r="C24" s="54"/>
      <c r="D24" s="54"/>
      <c r="E24" s="54"/>
      <c r="F24" s="54"/>
      <c r="G24" s="291"/>
    </row>
    <row r="25" spans="2:7" x14ac:dyDescent="0.25">
      <c r="B25" s="54" t="str">
        <f>'INVENTARIO ABRIL'!E176</f>
        <v xml:space="preserve">CARTUCHO 812XL, YELLOW PARA  IMPRESORA EPSON </v>
      </c>
      <c r="C25" s="54"/>
      <c r="D25" s="54"/>
      <c r="E25" s="54"/>
      <c r="F25" s="54"/>
      <c r="G25" s="291"/>
    </row>
    <row r="26" spans="2:7" x14ac:dyDescent="0.25">
      <c r="B26" s="54" t="str">
        <f>'INVENTARIO ABRIL'!E177</f>
        <v xml:space="preserve">CARTUCHO 812XL, MAGENTA PARA  IMPRESORA EPSON </v>
      </c>
      <c r="C26" s="54"/>
      <c r="D26" s="54"/>
      <c r="E26" s="54"/>
      <c r="F26" s="54"/>
      <c r="G26" s="291"/>
    </row>
    <row r="28" spans="2:7" x14ac:dyDescent="0.25">
      <c r="B28" s="54" t="str">
        <f>'INVENTARIO ABRIL'!E178</f>
        <v>CARTUCHO 938, COLOR NEGRO PARA IMPRESORA HP</v>
      </c>
      <c r="G28" s="291">
        <v>12</v>
      </c>
    </row>
    <row r="29" spans="2:7" x14ac:dyDescent="0.25">
      <c r="B29" s="54" t="str">
        <f>'INVENTARIO ABRIL'!E179</f>
        <v>CARTUCHO 938, COLOR CYAN PARA IMPRESORA HP</v>
      </c>
      <c r="G29" s="291"/>
    </row>
    <row r="30" spans="2:7" x14ac:dyDescent="0.25">
      <c r="B30" s="54" t="str">
        <f>'INVENTARIO ABRIL'!E180</f>
        <v>CARTUCHO 938, COLOR YELLOW PARA IMPRESORA HP</v>
      </c>
      <c r="G30" s="291"/>
    </row>
    <row r="31" spans="2:7" x14ac:dyDescent="0.25">
      <c r="B31" s="54" t="str">
        <f>'INVENTARIO ABRIL'!E181</f>
        <v>CARTUCHO 938, COLOR MAGENTA PARA IMPRESORA HP</v>
      </c>
      <c r="G31" s="291"/>
    </row>
  </sheetData>
  <mergeCells count="7">
    <mergeCell ref="G23:G26"/>
    <mergeCell ref="G28:G31"/>
    <mergeCell ref="G4:G8"/>
    <mergeCell ref="G10:G11"/>
    <mergeCell ref="B10:B11"/>
    <mergeCell ref="G13:G16"/>
    <mergeCell ref="G18:G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INVENTARIO ABRIL</vt:lpstr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ENEURY</dc:creator>
  <cp:lastModifiedBy>SGN</cp:lastModifiedBy>
  <cp:lastPrinted>2025-07-10T13:37:30Z</cp:lastPrinted>
  <dcterms:created xsi:type="dcterms:W3CDTF">2017-10-05T13:28:57Z</dcterms:created>
  <dcterms:modified xsi:type="dcterms:W3CDTF">2025-07-14T16:00:04Z</dcterms:modified>
</cp:coreProperties>
</file>