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B2AF50B3-F8B0-4ABF-A8E6-559F002C9F23}" xr6:coauthVersionLast="47" xr6:coauthVersionMax="47" xr10:uidLastSave="{00000000-0000-0000-0000-000000000000}"/>
  <bookViews>
    <workbookView xWindow="-120" yWindow="-120" windowWidth="29040" windowHeight="15840" xr2:uid="{F3373127-29D6-4148-94CF-05DBE2098153}"/>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2" i="1" l="1"/>
  <c r="C550" i="1"/>
  <c r="C539" i="1"/>
  <c r="C537" i="1"/>
  <c r="C528" i="1"/>
  <c r="C526" i="1"/>
  <c r="C517" i="1"/>
  <c r="C515" i="1"/>
  <c r="C506" i="1"/>
  <c r="C504" i="1"/>
  <c r="C495" i="1"/>
  <c r="C493" i="1"/>
  <c r="C484" i="1"/>
  <c r="C482" i="1"/>
  <c r="C472" i="1"/>
  <c r="C470" i="1"/>
  <c r="C461" i="1"/>
  <c r="C459" i="1"/>
  <c r="C450" i="1"/>
  <c r="C448" i="1"/>
  <c r="C439" i="1"/>
  <c r="C437" i="1"/>
  <c r="C428" i="1"/>
  <c r="C426" i="1"/>
  <c r="C417" i="1"/>
  <c r="C415" i="1"/>
  <c r="C406" i="1"/>
  <c r="C404" i="1"/>
  <c r="C395" i="1"/>
  <c r="C393" i="1"/>
  <c r="C384" i="1"/>
  <c r="C382" i="1"/>
  <c r="C373" i="1"/>
  <c r="C371" i="1"/>
  <c r="C362" i="1"/>
  <c r="C360" i="1"/>
  <c r="C351" i="1"/>
  <c r="C349" i="1"/>
  <c r="C338" i="1"/>
  <c r="C336" i="1"/>
  <c r="C327" i="1"/>
  <c r="C325" i="1"/>
  <c r="C316" i="1"/>
  <c r="C314" i="1"/>
  <c r="C303" i="1"/>
  <c r="C301" i="1"/>
  <c r="C295" i="1"/>
  <c r="C292" i="1"/>
  <c r="C290" i="1"/>
  <c r="C284" i="1"/>
  <c r="C283" i="1"/>
  <c r="C282" i="1"/>
  <c r="C281" i="1"/>
  <c r="C280" i="1"/>
  <c r="C279" i="1"/>
  <c r="C278" i="1"/>
  <c r="C277" i="1"/>
  <c r="C276" i="1"/>
  <c r="C275" i="1"/>
  <c r="C272" i="1"/>
  <c r="C270" i="1"/>
  <c r="C264" i="1"/>
  <c r="C263" i="1"/>
  <c r="C262" i="1"/>
  <c r="C261" i="1"/>
  <c r="C260" i="1"/>
  <c r="C259" i="1"/>
  <c r="C258" i="1"/>
  <c r="C257" i="1"/>
  <c r="C256" i="1"/>
  <c r="C255" i="1"/>
  <c r="C254" i="1"/>
  <c r="C253" i="1"/>
  <c r="C250" i="1"/>
  <c r="C248"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6" i="1"/>
  <c r="C193" i="1"/>
  <c r="C191" i="1"/>
  <c r="C180" i="1"/>
  <c r="C178" i="1"/>
  <c r="C172" i="1"/>
  <c r="C169" i="1"/>
  <c r="C167" i="1"/>
  <c r="C161" i="1"/>
  <c r="C158" i="1"/>
  <c r="C156" i="1"/>
  <c r="C149" i="1"/>
  <c r="C148" i="1"/>
  <c r="C147" i="1"/>
  <c r="C146" i="1"/>
  <c r="C145" i="1"/>
  <c r="C144" i="1"/>
  <c r="C143" i="1"/>
  <c r="C142" i="1"/>
  <c r="C139" i="1"/>
  <c r="C137" i="1"/>
  <c r="C131" i="1"/>
  <c r="C130" i="1"/>
  <c r="C129" i="1"/>
  <c r="C127" i="1"/>
  <c r="C126" i="1"/>
  <c r="C125" i="1"/>
  <c r="C124" i="1"/>
  <c r="C123" i="1"/>
  <c r="C122" i="1"/>
  <c r="C120" i="1"/>
  <c r="C117" i="1"/>
  <c r="C11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5" i="1"/>
  <c r="C74" i="1"/>
  <c r="C73" i="1"/>
  <c r="C72" i="1"/>
  <c r="C71" i="1"/>
  <c r="C70" i="1"/>
  <c r="C69" i="1"/>
  <c r="C68" i="1"/>
  <c r="C67" i="1"/>
  <c r="C66" i="1"/>
  <c r="C64" i="1"/>
  <c r="C61" i="1"/>
  <c r="C53" i="1"/>
  <c r="C52" i="1"/>
  <c r="C51" i="1"/>
  <c r="C50" i="1"/>
  <c r="C49" i="1"/>
  <c r="C48" i="1"/>
  <c r="C45" i="1"/>
  <c r="C43" i="1"/>
  <c r="C37" i="1"/>
  <c r="C36" i="1"/>
  <c r="C35" i="1"/>
  <c r="B3" i="1"/>
  <c r="F172" i="1"/>
  <c r="B126" i="1"/>
  <c r="B475" i="1"/>
  <c r="F280" i="1"/>
  <c r="F203" i="1"/>
  <c r="F105" i="1"/>
  <c r="B122" i="1"/>
  <c r="F66" i="1"/>
  <c r="B276" i="1"/>
  <c r="B148" i="1"/>
  <c r="F100" i="1"/>
  <c r="F464" i="1"/>
  <c r="B376" i="1"/>
  <c r="B279" i="1"/>
  <c r="F145" i="1"/>
  <c r="F53" i="1"/>
  <c r="B124" i="1"/>
  <c r="B263" i="1"/>
  <c r="F77" i="1"/>
  <c r="F342" i="1"/>
  <c r="F264" i="1"/>
  <c r="B143" i="1"/>
  <c r="B51" i="1"/>
  <c r="B105" i="1"/>
  <c r="F257" i="1"/>
  <c r="F204" i="1"/>
  <c r="F123" i="1"/>
  <c r="F93" i="1"/>
  <c r="F307" i="1"/>
  <c r="F255" i="1"/>
  <c r="B142" i="1"/>
  <c r="B123" i="1"/>
  <c r="F120" i="1"/>
  <c r="B91" i="1"/>
  <c r="F283" i="1"/>
  <c r="B253" i="1"/>
  <c r="F124" i="1"/>
  <c r="F86" i="1"/>
  <c r="B82" i="1"/>
  <c r="B75" i="1"/>
  <c r="B509" i="1"/>
  <c r="F225" i="1"/>
  <c r="B204" i="1"/>
  <c r="B76" i="1"/>
  <c r="B343" i="1"/>
  <c r="B307" i="1"/>
  <c r="B50" i="1"/>
  <c r="F146" i="1"/>
  <c r="F74" i="1"/>
  <c r="B284" i="1"/>
  <c r="B196" i="1"/>
  <c r="B125" i="1"/>
  <c r="F531" i="1"/>
  <c r="F75" i="1"/>
  <c r="F211" i="1"/>
  <c r="B77" i="1"/>
  <c r="F78" i="1"/>
  <c r="B102" i="1"/>
  <c r="B69" i="1"/>
  <c r="B264" i="1"/>
  <c r="F230" i="1"/>
  <c r="B103" i="1"/>
  <c r="F221" i="1"/>
  <c r="F121" i="1"/>
  <c r="B543" i="1"/>
  <c r="B226" i="1"/>
  <c r="F95" i="1"/>
  <c r="B71" i="1"/>
  <c r="F91" i="1"/>
  <c r="F242" i="1"/>
  <c r="B229" i="1"/>
  <c r="F98" i="1"/>
  <c r="F197" i="1"/>
  <c r="B283" i="1"/>
  <c r="B222" i="1"/>
  <c r="F131" i="1"/>
  <c r="B240" i="1"/>
  <c r="F223" i="1"/>
  <c r="B96" i="1"/>
  <c r="B144" i="1"/>
  <c r="F277" i="1"/>
  <c r="F216" i="1"/>
  <c r="B231" i="1"/>
  <c r="B86" i="1"/>
  <c r="F83" i="1"/>
  <c r="B239" i="1"/>
  <c r="F214" i="1"/>
  <c r="B87" i="1"/>
  <c r="F23" i="1"/>
  <c r="F80" i="1"/>
  <c r="B555" i="1"/>
  <c r="F233" i="1"/>
  <c r="B212" i="1"/>
  <c r="F81" i="1"/>
  <c r="F69" i="1"/>
  <c r="F475" i="1"/>
  <c r="B223" i="1"/>
  <c r="F198" i="1"/>
  <c r="F70" i="1"/>
  <c r="F161" i="1"/>
  <c r="F409" i="1"/>
  <c r="F281" i="1"/>
  <c r="B172" i="1"/>
  <c r="B66" i="1"/>
  <c r="B227" i="1"/>
  <c r="F224" i="1"/>
  <c r="F210" i="1"/>
  <c r="F196" i="1"/>
  <c r="F213" i="1"/>
  <c r="F453" i="1"/>
  <c r="F227" i="1"/>
  <c r="F149" i="1"/>
  <c r="F295" i="1"/>
  <c r="B208" i="1"/>
  <c r="F184" i="1"/>
  <c r="B89" i="1"/>
  <c r="B420" i="1"/>
  <c r="B225" i="1"/>
  <c r="B147" i="1"/>
  <c r="F238" i="1"/>
  <c r="F37" i="1"/>
  <c r="F341" i="1"/>
  <c r="B207" i="1"/>
  <c r="B145" i="1"/>
  <c r="B36" i="1"/>
  <c r="F262" i="1"/>
  <c r="B35" i="1"/>
  <c r="B308" i="1"/>
  <c r="F201" i="1"/>
  <c r="F130" i="1"/>
  <c r="B23" i="1"/>
  <c r="F226" i="1"/>
  <c r="B84" i="1"/>
  <c r="F72" i="1"/>
  <c r="B234" i="1"/>
  <c r="F103" i="1"/>
  <c r="F76" i="1"/>
  <c r="B109" i="1"/>
  <c r="B280" i="1"/>
  <c r="B238" i="1"/>
  <c r="B306" i="1"/>
  <c r="F102" i="1"/>
  <c r="F200" i="1"/>
  <c r="B205" i="1"/>
  <c r="F235" i="1"/>
  <c r="F217" i="1"/>
  <c r="B79" i="1"/>
  <c r="F544" i="1"/>
  <c r="B476" i="1"/>
  <c r="F354" i="1"/>
  <c r="B81" i="1"/>
  <c r="B200" i="1"/>
  <c r="B127" i="1"/>
  <c r="B236" i="1"/>
  <c r="B72" i="1"/>
  <c r="F278" i="1"/>
  <c r="F183" i="1"/>
  <c r="F106" i="1"/>
  <c r="B498" i="1"/>
  <c r="B211" i="1"/>
  <c r="B257" i="1"/>
  <c r="F231" i="1"/>
  <c r="B104" i="1"/>
  <c r="F254" i="1"/>
  <c r="F306" i="1"/>
  <c r="B73" i="1"/>
  <c r="B149" i="1"/>
  <c r="F101" i="1"/>
  <c r="B387" i="1"/>
  <c r="F263" i="1"/>
  <c r="B150" i="1"/>
  <c r="B100" i="1"/>
  <c r="B542" i="1"/>
  <c r="F143" i="1"/>
  <c r="B99" i="1"/>
  <c r="B341" i="1"/>
  <c r="B261" i="1"/>
  <c r="F144" i="1"/>
  <c r="F94" i="1"/>
  <c r="B258" i="1"/>
  <c r="B219" i="1"/>
  <c r="F253" i="1"/>
  <c r="B128" i="1"/>
  <c r="B90" i="1"/>
  <c r="F279" i="1"/>
  <c r="B544" i="1"/>
  <c r="B203" i="1"/>
  <c r="B242" i="1"/>
  <c r="F122" i="1"/>
  <c r="F84" i="1"/>
  <c r="F237" i="1"/>
  <c r="F108" i="1"/>
  <c r="F476" i="1"/>
  <c r="B342" i="1"/>
  <c r="B202" i="1"/>
  <c r="B74" i="1"/>
  <c r="B235" i="1"/>
  <c r="F49" i="1"/>
  <c r="F206" i="1"/>
  <c r="B183" i="1"/>
  <c r="F220" i="1"/>
  <c r="B282" i="1"/>
  <c r="F498" i="1"/>
  <c r="F365" i="1"/>
  <c r="B146" i="1"/>
  <c r="B83" i="1"/>
  <c r="B281" i="1"/>
  <c r="F555" i="1"/>
  <c r="F228" i="1"/>
  <c r="B101" i="1"/>
  <c r="F73" i="1"/>
  <c r="F99" i="1"/>
  <c r="B197" i="1"/>
  <c r="B216" i="1"/>
  <c r="F199" i="1"/>
  <c r="F24" i="1"/>
  <c r="B487" i="1"/>
  <c r="B233" i="1"/>
  <c r="B78" i="1"/>
  <c r="B94" i="1"/>
  <c r="B37" i="1"/>
  <c r="B256" i="1"/>
  <c r="F222" i="1"/>
  <c r="B95" i="1"/>
  <c r="F67" i="1"/>
  <c r="B121" i="1"/>
  <c r="F88" i="1"/>
  <c r="B97" i="1"/>
  <c r="F241" i="1"/>
  <c r="B220" i="1"/>
  <c r="F89" i="1"/>
  <c r="F64" i="1"/>
  <c r="B206" i="1"/>
  <c r="F442" i="1"/>
  <c r="F212" i="1"/>
  <c r="B85" i="1"/>
  <c r="B48" i="1"/>
  <c r="F431" i="1"/>
  <c r="F543" i="1"/>
  <c r="B409" i="1"/>
  <c r="B210" i="1"/>
  <c r="F79" i="1"/>
  <c r="F376" i="1"/>
  <c r="B398" i="1"/>
  <c r="B254" i="1"/>
  <c r="F276" i="1"/>
  <c r="F239" i="1"/>
  <c r="B120" i="1"/>
  <c r="B277" i="1"/>
  <c r="B365" i="1"/>
  <c r="F232" i="1"/>
  <c r="B531" i="1"/>
  <c r="B241" i="1"/>
  <c r="B67" i="1"/>
  <c r="B68" i="1"/>
  <c r="B93" i="1"/>
  <c r="B218" i="1"/>
  <c r="F202" i="1"/>
  <c r="F219" i="1"/>
  <c r="B70" i="1"/>
  <c r="F275" i="1"/>
  <c r="B464" i="1"/>
  <c r="F308" i="1"/>
  <c r="B184" i="1"/>
  <c r="F68" i="1"/>
  <c r="F229" i="1"/>
  <c r="F282" i="1"/>
  <c r="F542" i="1"/>
  <c r="B161" i="1"/>
  <c r="B108" i="1"/>
  <c r="F420" i="1"/>
  <c r="B278" i="1"/>
  <c r="B201" i="1"/>
  <c r="B199" i="1"/>
  <c r="B64" i="1"/>
  <c r="F387" i="1"/>
  <c r="B215" i="1"/>
  <c r="F150" i="1"/>
  <c r="B65" i="1"/>
  <c r="F205" i="1"/>
  <c r="F398" i="1"/>
  <c r="B52" i="1"/>
  <c r="B354" i="1"/>
  <c r="F209" i="1"/>
  <c r="F147" i="1"/>
  <c r="B53" i="1"/>
  <c r="B214" i="1"/>
  <c r="B330" i="1"/>
  <c r="B262" i="1"/>
  <c r="F128" i="1"/>
  <c r="F36" i="1"/>
  <c r="B520" i="1"/>
  <c r="B255" i="1"/>
  <c r="F284" i="1"/>
  <c r="F256" i="1"/>
  <c r="F125" i="1"/>
  <c r="B24" i="1"/>
  <c r="B453" i="1"/>
  <c r="F240" i="1"/>
  <c r="F85" i="1"/>
  <c r="B224" i="1"/>
  <c r="F207" i="1"/>
  <c r="B80" i="1"/>
  <c r="B213" i="1"/>
  <c r="B198" i="1"/>
  <c r="F50" i="1"/>
  <c r="B217" i="1"/>
  <c r="F259" i="1"/>
  <c r="B237" i="1"/>
  <c r="F107" i="1"/>
  <c r="B260" i="1"/>
  <c r="B319" i="1"/>
  <c r="B230" i="1"/>
  <c r="B107" i="1"/>
  <c r="F96" i="1"/>
  <c r="F48" i="1"/>
  <c r="F258" i="1"/>
  <c r="B228" i="1"/>
  <c r="F97" i="1"/>
  <c r="F127" i="1"/>
  <c r="F51" i="1"/>
  <c r="F261" i="1"/>
  <c r="F142" i="1"/>
  <c r="B98" i="1"/>
  <c r="B431" i="1"/>
  <c r="B130" i="1"/>
  <c r="F343" i="1"/>
  <c r="B49" i="1"/>
  <c r="B259" i="1"/>
  <c r="B131" i="1"/>
  <c r="F92" i="1"/>
  <c r="F330" i="1"/>
  <c r="F52" i="1"/>
  <c r="F234" i="1"/>
  <c r="B221" i="1"/>
  <c r="F90" i="1"/>
  <c r="F129" i="1"/>
  <c r="B275" i="1"/>
  <c r="B92" i="1"/>
  <c r="B232" i="1"/>
  <c r="F215" i="1"/>
  <c r="B88" i="1"/>
  <c r="F126" i="1"/>
  <c r="F260" i="1"/>
  <c r="F208" i="1"/>
  <c r="F82" i="1"/>
  <c r="B185" i="1"/>
  <c r="B129" i="1"/>
  <c r="F487" i="1"/>
  <c r="B295" i="1"/>
  <c r="B209" i="1"/>
  <c r="F109" i="1"/>
  <c r="F236" i="1"/>
  <c r="F218" i="1"/>
  <c r="F71" i="1"/>
  <c r="F520" i="1"/>
  <c r="B442" i="1"/>
  <c r="F509" i="1"/>
  <c r="F65" i="1"/>
  <c r="F35" i="1"/>
  <c r="F87" i="1"/>
  <c r="F148" i="1"/>
  <c r="F185" i="1"/>
  <c r="F319" i="1"/>
  <c r="F104" i="1"/>
  <c r="B106" i="1"/>
  <c r="F38" i="1" l="1"/>
  <c r="F110" i="1"/>
  <c r="F162" i="1"/>
  <c r="F432" i="1"/>
  <c r="F499" i="1"/>
  <c r="F331" i="1"/>
  <c r="F465" i="1"/>
  <c r="F532" i="1"/>
  <c r="F309" i="1"/>
  <c r="F399" i="1"/>
  <c r="F377" i="1"/>
  <c r="F320" i="1"/>
  <c r="F366" i="1"/>
  <c r="F454" i="1"/>
  <c r="F521" i="1"/>
  <c r="F25" i="1"/>
  <c r="F151" i="1"/>
  <c r="F186" i="1"/>
  <c r="F285" i="1"/>
  <c r="F421" i="1"/>
  <c r="F488" i="1"/>
  <c r="F265" i="1"/>
  <c r="F296" i="1"/>
  <c r="F344" i="1"/>
  <c r="F388" i="1"/>
  <c r="F477" i="1"/>
  <c r="F545" i="1"/>
  <c r="F54" i="1"/>
  <c r="F243" i="1"/>
  <c r="F355" i="1"/>
  <c r="F443" i="1"/>
  <c r="F510" i="1"/>
  <c r="F556" i="1"/>
  <c r="F132" i="1"/>
  <c r="F173" i="1"/>
  <c r="F410" i="1"/>
  <c r="B9" i="1" l="1"/>
  <c r="B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EA6B1088-42DC-4531-9971-1B8D49680A4C}">
      <text>
        <r>
          <rPr>
            <b/>
            <sz val="9"/>
            <rFont val="Tahoma"/>
            <family val="2"/>
          </rPr>
          <t>Introduzca el año del PACC</t>
        </r>
      </text>
    </comment>
    <comment ref="E12" authorId="0" shapeId="0" xr:uid="{AD687A0B-6724-4ED7-84F8-E6605DA6107D}">
      <text>
        <r>
          <rPr>
            <b/>
            <sz val="9"/>
            <rFont val="Tahoma"/>
            <family val="2"/>
          </rPr>
          <t>Introduzca la fecha de aprobación, en formato dd/mm/aaaa</t>
        </r>
      </text>
    </comment>
    <comment ref="A16" authorId="1" shapeId="0" xr:uid="{113E6C19-7A6A-44C8-8381-48A9E3B4466C}">
      <text>
        <r>
          <rPr>
            <sz val="11"/>
            <color theme="1"/>
            <rFont val="Calibri"/>
            <family val="2"/>
            <scheme val="minor"/>
          </rPr>
          <t>Introducir un texto con el nombre o referencia de la contratación</t>
        </r>
      </text>
    </comment>
    <comment ref="B16" authorId="1" shapeId="0" xr:uid="{91D38A69-0F17-449C-A1BB-FDCC61DF1A87}">
      <text>
        <r>
          <rPr>
            <sz val="11"/>
            <color theme="1"/>
            <rFont val="Calibri"/>
            <family val="2"/>
            <scheme val="minor"/>
          </rPr>
          <t>Introduzca un texto con la finalidad de la contratación</t>
        </r>
      </text>
    </comment>
    <comment ref="C16" authorId="1" shapeId="0" xr:uid="{887DFCFB-1215-467C-9F14-C9240A936977}">
      <text>
        <r>
          <rPr>
            <sz val="11"/>
            <color theme="1"/>
            <rFont val="Calibri"/>
            <family val="2"/>
            <scheme val="minor"/>
          </rPr>
          <t>Seleccionar un valor del listado</t>
        </r>
      </text>
    </comment>
    <comment ref="D16" authorId="1" shapeId="0" xr:uid="{4CDA0ACD-F475-45C8-9503-3105334C491E}">
      <text>
        <r>
          <rPr>
            <sz val="11"/>
            <color theme="1"/>
            <rFont val="Calibri"/>
            <family val="2"/>
            <scheme val="minor"/>
          </rPr>
          <t>Seleccione el tipo de procedimiento</t>
        </r>
      </text>
    </comment>
    <comment ref="E16" authorId="1" shapeId="0" xr:uid="{3CF571BC-F493-41A0-A924-D84907CAC283}">
      <text>
        <r>
          <rPr>
            <sz val="11"/>
            <color theme="1"/>
            <rFont val="Calibri"/>
            <family val="2"/>
            <scheme val="minor"/>
          </rPr>
          <t>Seleccione un valor de la lista</t>
        </r>
      </text>
    </comment>
    <comment ref="F16" authorId="1" shapeId="0" xr:uid="{307A50DD-C4C0-4EF7-99E4-8B9B168F5C07}">
      <text>
        <r>
          <rPr>
            <sz val="11"/>
            <color theme="1"/>
            <rFont val="Calibri"/>
            <family val="2"/>
            <scheme val="minor"/>
          </rPr>
          <t>Introduzca el código SNIP</t>
        </r>
      </text>
    </comment>
    <comment ref="C17" authorId="1" shapeId="0" xr:uid="{C1B8A6C3-A0F8-4CEE-8411-532886422ADE}">
      <text>
        <r>
          <rPr>
            <sz val="11"/>
            <color theme="1"/>
            <rFont val="Calibri"/>
            <family val="2"/>
            <scheme val="minor"/>
          </rPr>
          <t>Introduzca la fecha de inicio del proceso, en formato dd-mm-aaaa</t>
        </r>
      </text>
    </comment>
    <comment ref="F17" authorId="1" shapeId="0" xr:uid="{AECC7444-F34C-4153-808F-BCBEA6A933B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D987509-9F79-4191-8D6B-917B0E470722}">
      <text/>
    </comment>
    <comment ref="C19" authorId="1" shapeId="0" xr:uid="{570460DC-5661-439A-9675-CF93CE8B7975}">
      <text>
        <r>
          <rPr>
            <sz val="11"/>
            <color theme="1"/>
            <rFont val="Calibri"/>
            <family val="2"/>
            <scheme val="minor"/>
          </rPr>
          <t>Introduzca la fecha prevista de adjudicación, en formato dd-mm-aaaa</t>
        </r>
      </text>
    </comment>
    <comment ref="F19" authorId="1" shapeId="0" xr:uid="{6BD363FD-4FE0-4E22-8AF8-AC3A60598C5F}">
      <text/>
    </comment>
    <comment ref="F20" authorId="1" shapeId="0" xr:uid="{6584A79A-5404-4568-BAD1-F8CCD4897D35}">
      <text/>
    </comment>
    <comment ref="A22" authorId="1" shapeId="0" xr:uid="{C0B26E04-6800-48F1-9A93-E27CDCCC9A7A}">
      <text>
        <r>
          <rPr>
            <sz val="11"/>
            <color theme="1"/>
            <rFont val="Calibri"/>
            <family val="2"/>
            <scheme val="minor"/>
          </rPr>
          <t>Introduzca un codigo UNSPSC</t>
        </r>
      </text>
    </comment>
    <comment ref="B22" authorId="1" shapeId="0" xr:uid="{9E578DBB-1852-4E06-9D4D-6149B262BE9F}">
      <text>
        <r>
          <rPr>
            <sz val="11"/>
            <color theme="1"/>
            <rFont val="Calibri"/>
            <family val="2"/>
            <scheme val="minor"/>
          </rPr>
          <t>Descripción calculada automáticamente a partir de código del artículo</t>
        </r>
      </text>
    </comment>
    <comment ref="C22" authorId="1" shapeId="0" xr:uid="{4D027A5F-FCCD-45C2-A984-2A68C98B23DE}">
      <text>
        <r>
          <rPr>
            <sz val="11"/>
            <color theme="1"/>
            <rFont val="Calibri"/>
            <family val="2"/>
            <scheme val="minor"/>
          </rPr>
          <t>Seleccione un valor de la lista</t>
        </r>
      </text>
    </comment>
    <comment ref="D22" authorId="1" shapeId="0" xr:uid="{81DA70C0-40EB-4B52-984F-FFC1CB56E817}">
      <text>
        <r>
          <rPr>
            <sz val="11"/>
            <color theme="1"/>
            <rFont val="Calibri"/>
            <family val="2"/>
            <scheme val="minor"/>
          </rPr>
          <t>Introduzca un número con dos decimales como máximo. Debe ser igual o mayor a la "Cantidad Real Consumida"</t>
        </r>
      </text>
    </comment>
    <comment ref="E22" authorId="1" shapeId="0" xr:uid="{A468757B-C4D8-4D1D-B2A0-FD1B7B2148C6}">
      <text>
        <r>
          <rPr>
            <sz val="11"/>
            <color theme="1"/>
            <rFont val="Calibri"/>
            <family val="2"/>
            <scheme val="minor"/>
          </rPr>
          <t>Introduzca un número con dos decimales como máximo</t>
        </r>
      </text>
    </comment>
    <comment ref="F22" authorId="1" shapeId="0" xr:uid="{C7987B46-4D1A-4C93-8149-08AEC19DB7D5}">
      <text>
        <r>
          <rPr>
            <sz val="11"/>
            <color theme="1"/>
            <rFont val="Calibri"/>
            <family val="2"/>
            <scheme val="minor"/>
          </rPr>
          <t>Monto calculado automáticamente por el sistema</t>
        </r>
      </text>
    </comment>
    <comment ref="A28" authorId="1" shapeId="0" xr:uid="{B76DA1BA-AA98-4CCE-B816-F28EE7F90D99}">
      <text>
        <r>
          <rPr>
            <sz val="11"/>
            <color theme="1"/>
            <rFont val="Calibri"/>
            <family val="2"/>
            <scheme val="minor"/>
          </rPr>
          <t>Introducir un texto con el nombre o referencia de la contratación</t>
        </r>
      </text>
    </comment>
    <comment ref="B28" authorId="1" shapeId="0" xr:uid="{E37E636E-0FA9-4374-BAD1-26E1E6766BB9}">
      <text>
        <r>
          <rPr>
            <sz val="11"/>
            <color theme="1"/>
            <rFont val="Calibri"/>
            <family val="2"/>
            <scheme val="minor"/>
          </rPr>
          <t>Introduzca un texto con la finalidad de la contratación</t>
        </r>
      </text>
    </comment>
    <comment ref="C28" authorId="1" shapeId="0" xr:uid="{B1F13734-BD4C-4B5C-AB40-37191EB15D05}">
      <text>
        <r>
          <rPr>
            <sz val="11"/>
            <color theme="1"/>
            <rFont val="Calibri"/>
            <family val="2"/>
            <scheme val="minor"/>
          </rPr>
          <t>Seleccionar un valor del listado</t>
        </r>
      </text>
    </comment>
    <comment ref="D28" authorId="1" shapeId="0" xr:uid="{F228BAC2-2E17-4675-9934-D8132EAF398F}">
      <text>
        <r>
          <rPr>
            <sz val="11"/>
            <color theme="1"/>
            <rFont val="Calibri"/>
            <family val="2"/>
            <scheme val="minor"/>
          </rPr>
          <t>Seleccione el tipo de procedimiento</t>
        </r>
      </text>
    </comment>
    <comment ref="E28" authorId="1" shapeId="0" xr:uid="{4DFFC33C-D650-464C-A0EA-B90CCCFF448F}">
      <text>
        <r>
          <rPr>
            <sz val="11"/>
            <color theme="1"/>
            <rFont val="Calibri"/>
            <family val="2"/>
            <scheme val="minor"/>
          </rPr>
          <t>Seleccione un valor de la lista</t>
        </r>
      </text>
    </comment>
    <comment ref="F28" authorId="1" shapeId="0" xr:uid="{A1DC5095-255D-4EAD-8473-68422AEA1AE6}">
      <text>
        <r>
          <rPr>
            <sz val="11"/>
            <color theme="1"/>
            <rFont val="Calibri"/>
            <family val="2"/>
            <scheme val="minor"/>
          </rPr>
          <t>Introduzca el código SNIP</t>
        </r>
      </text>
    </comment>
    <comment ref="C29" authorId="1" shapeId="0" xr:uid="{373ACC23-A95F-45BD-A954-5D9870344D41}">
      <text>
        <r>
          <rPr>
            <sz val="11"/>
            <color theme="1"/>
            <rFont val="Calibri"/>
            <family val="2"/>
            <scheme val="minor"/>
          </rPr>
          <t>Introduzca la fecha de inicio del proceso, en formato dd-mm-aaaa</t>
        </r>
      </text>
    </comment>
    <comment ref="F29" authorId="1" shapeId="0" xr:uid="{8DAE33E9-61D1-4831-B9C4-5DC1BD33728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 authorId="1" shapeId="0" xr:uid="{000B9C75-E8B4-4834-9803-1B3A3C9E9501}">
      <text/>
    </comment>
    <comment ref="C31" authorId="1" shapeId="0" xr:uid="{87AF8A22-5EED-4C7E-AFF7-55E2E655575E}">
      <text>
        <r>
          <rPr>
            <sz val="11"/>
            <color theme="1"/>
            <rFont val="Calibri"/>
            <family val="2"/>
            <scheme val="minor"/>
          </rPr>
          <t>Introduzca la fecha prevista de adjudicación, en formato dd-mm-aaaa</t>
        </r>
      </text>
    </comment>
    <comment ref="F31" authorId="1" shapeId="0" xr:uid="{5A7923E3-0E37-496C-8395-BB49E412BF84}">
      <text/>
    </comment>
    <comment ref="F32" authorId="1" shapeId="0" xr:uid="{54ABA222-999B-42B9-B899-CACB078E2BD4}">
      <text/>
    </comment>
    <comment ref="A34" authorId="1" shapeId="0" xr:uid="{DFDBC5C5-FC7E-493B-BE6F-0467D58FFB8B}">
      <text>
        <r>
          <rPr>
            <sz val="11"/>
            <color theme="1"/>
            <rFont val="Calibri"/>
            <family val="2"/>
            <scheme val="minor"/>
          </rPr>
          <t>Introduzca un codigo UNSPSC</t>
        </r>
      </text>
    </comment>
    <comment ref="B34" authorId="1" shapeId="0" xr:uid="{E7378307-E315-4814-8F4C-7DC8F773D0B7}">
      <text>
        <r>
          <rPr>
            <sz val="11"/>
            <color theme="1"/>
            <rFont val="Calibri"/>
            <family val="2"/>
            <scheme val="minor"/>
          </rPr>
          <t>Descripción calculada automáticamente a partir de código del artículo</t>
        </r>
      </text>
    </comment>
    <comment ref="C34" authorId="1" shapeId="0" xr:uid="{F1B5AAED-A637-4130-9AD6-F576C9526E0B}">
      <text>
        <r>
          <rPr>
            <sz val="11"/>
            <color theme="1"/>
            <rFont val="Calibri"/>
            <family val="2"/>
            <scheme val="minor"/>
          </rPr>
          <t>Seleccione un valor de la lista</t>
        </r>
      </text>
    </comment>
    <comment ref="D34" authorId="1" shapeId="0" xr:uid="{36DC777A-06CC-446E-ACAD-F73C214E9572}">
      <text>
        <r>
          <rPr>
            <sz val="11"/>
            <color theme="1"/>
            <rFont val="Calibri"/>
            <family val="2"/>
            <scheme val="minor"/>
          </rPr>
          <t>Introduzca un número con dos decimales como máximo. Debe ser igual o mayor a la "Cantidad Real Consumida"</t>
        </r>
      </text>
    </comment>
    <comment ref="E34" authorId="1" shapeId="0" xr:uid="{7357E1BA-ED9D-4132-A37A-56ADBAE3369E}">
      <text>
        <r>
          <rPr>
            <sz val="11"/>
            <color theme="1"/>
            <rFont val="Calibri"/>
            <family val="2"/>
            <scheme val="minor"/>
          </rPr>
          <t>Introduzca un número con dos decimales como máximo</t>
        </r>
      </text>
    </comment>
    <comment ref="F34" authorId="1" shapeId="0" xr:uid="{88C7E95F-FD1E-4C01-A514-DADCDC17187E}">
      <text>
        <r>
          <rPr>
            <sz val="11"/>
            <color theme="1"/>
            <rFont val="Calibri"/>
            <family val="2"/>
            <scheme val="minor"/>
          </rPr>
          <t>Monto calculado automáticamente por el sistema</t>
        </r>
      </text>
    </comment>
    <comment ref="A41" authorId="1" shapeId="0" xr:uid="{AB351FCB-40E7-4ECA-8BFB-0D23AC13FABF}">
      <text>
        <r>
          <rPr>
            <sz val="11"/>
            <color theme="1"/>
            <rFont val="Calibri"/>
            <family val="2"/>
            <scheme val="minor"/>
          </rPr>
          <t>Introducir un texto con el nombre o referencia de la contratación</t>
        </r>
      </text>
    </comment>
    <comment ref="B41" authorId="1" shapeId="0" xr:uid="{E37FE4DA-D751-488A-9061-DB37260942BB}">
      <text>
        <r>
          <rPr>
            <sz val="11"/>
            <color theme="1"/>
            <rFont val="Calibri"/>
            <family val="2"/>
            <scheme val="minor"/>
          </rPr>
          <t>Introduzca un texto con la finalidad de la contratación</t>
        </r>
      </text>
    </comment>
    <comment ref="C41" authorId="1" shapeId="0" xr:uid="{FCCACE8F-0850-4B43-86FD-1A7C470AB219}">
      <text>
        <r>
          <rPr>
            <sz val="11"/>
            <color theme="1"/>
            <rFont val="Calibri"/>
            <family val="2"/>
            <scheme val="minor"/>
          </rPr>
          <t>Seleccionar un valor del listado</t>
        </r>
      </text>
    </comment>
    <comment ref="D41" authorId="1" shapeId="0" xr:uid="{3B1F14AD-20EC-4143-A358-ADC86F2CC2C1}">
      <text>
        <r>
          <rPr>
            <sz val="11"/>
            <color theme="1"/>
            <rFont val="Calibri"/>
            <family val="2"/>
            <scheme val="minor"/>
          </rPr>
          <t>Seleccione el tipo de procedimiento</t>
        </r>
      </text>
    </comment>
    <comment ref="E41" authorId="1" shapeId="0" xr:uid="{6C18EDA9-A390-45BD-99A7-7066E3918B13}">
      <text>
        <r>
          <rPr>
            <sz val="11"/>
            <color theme="1"/>
            <rFont val="Calibri"/>
            <family val="2"/>
            <scheme val="minor"/>
          </rPr>
          <t>Seleccione un valor de la lista</t>
        </r>
      </text>
    </comment>
    <comment ref="F41" authorId="1" shapeId="0" xr:uid="{C9B21CE3-90C0-42F0-BDC1-B44C2C0C5B77}">
      <text>
        <r>
          <rPr>
            <sz val="11"/>
            <color theme="1"/>
            <rFont val="Calibri"/>
            <family val="2"/>
            <scheme val="minor"/>
          </rPr>
          <t>Introduzca el código SNIP</t>
        </r>
      </text>
    </comment>
    <comment ref="C42" authorId="1" shapeId="0" xr:uid="{DFB77CBB-584A-402E-BC8B-B7DB6082C9F8}">
      <text>
        <r>
          <rPr>
            <sz val="11"/>
            <color theme="1"/>
            <rFont val="Calibri"/>
            <family val="2"/>
            <scheme val="minor"/>
          </rPr>
          <t>Introduzca la fecha de inicio del proceso, en formato dd-mm-aaaa</t>
        </r>
      </text>
    </comment>
    <comment ref="F42" authorId="1" shapeId="0" xr:uid="{A4659D69-BC13-4033-9B2E-5378E6DBC65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 authorId="1" shapeId="0" xr:uid="{035B8BA9-ACB0-4811-B04F-C624A4E81C66}">
      <text/>
    </comment>
    <comment ref="C44" authorId="1" shapeId="0" xr:uid="{ED69863D-25FF-48AE-9555-3397C4210FDA}">
      <text>
        <r>
          <rPr>
            <sz val="11"/>
            <color theme="1"/>
            <rFont val="Calibri"/>
            <family val="2"/>
            <scheme val="minor"/>
          </rPr>
          <t>Introduzca la fecha prevista de adjudicación, en formato dd-mm-aaaa</t>
        </r>
      </text>
    </comment>
    <comment ref="F44" authorId="1" shapeId="0" xr:uid="{A1E9C16C-4E5C-457E-A757-FA026E607C4B}">
      <text/>
    </comment>
    <comment ref="F45" authorId="1" shapeId="0" xr:uid="{EC6AD9D3-5A5E-4373-B8F0-2CD04C137DE0}">
      <text/>
    </comment>
    <comment ref="A47" authorId="1" shapeId="0" xr:uid="{228E4702-2CFC-4A74-B9A5-991C8F45A62E}">
      <text>
        <r>
          <rPr>
            <sz val="11"/>
            <color theme="1"/>
            <rFont val="Calibri"/>
            <family val="2"/>
            <scheme val="minor"/>
          </rPr>
          <t>Introduzca un codigo UNSPSC</t>
        </r>
      </text>
    </comment>
    <comment ref="B47" authorId="1" shapeId="0" xr:uid="{A71951AF-39FD-4B33-8C36-0997D279E8F1}">
      <text>
        <r>
          <rPr>
            <sz val="11"/>
            <color theme="1"/>
            <rFont val="Calibri"/>
            <family val="2"/>
            <scheme val="minor"/>
          </rPr>
          <t>Descripción calculada automáticamente a partir de código del artículo</t>
        </r>
      </text>
    </comment>
    <comment ref="C47" authorId="1" shapeId="0" xr:uid="{935660D3-7E7C-4668-81FC-CEC8BF2991D1}">
      <text>
        <r>
          <rPr>
            <sz val="11"/>
            <color theme="1"/>
            <rFont val="Calibri"/>
            <family val="2"/>
            <scheme val="minor"/>
          </rPr>
          <t>Seleccione un valor de la lista</t>
        </r>
      </text>
    </comment>
    <comment ref="D47" authorId="1" shapeId="0" xr:uid="{36E4D9E9-10B5-470F-9A17-F1FE24CBB6B2}">
      <text>
        <r>
          <rPr>
            <sz val="11"/>
            <color theme="1"/>
            <rFont val="Calibri"/>
            <family val="2"/>
            <scheme val="minor"/>
          </rPr>
          <t>Introduzca un número con dos decimales como máximo. Debe ser igual o mayor a la "Cantidad Real Consumida"</t>
        </r>
      </text>
    </comment>
    <comment ref="E47" authorId="1" shapeId="0" xr:uid="{D3FC6C3D-AE8C-4817-A76E-55178E156DF1}">
      <text>
        <r>
          <rPr>
            <sz val="11"/>
            <color theme="1"/>
            <rFont val="Calibri"/>
            <family val="2"/>
            <scheme val="minor"/>
          </rPr>
          <t>Introduzca un número con dos decimales como máximo</t>
        </r>
      </text>
    </comment>
    <comment ref="F47" authorId="1" shapeId="0" xr:uid="{59491556-AE85-4688-8BFB-41D18AB2D685}">
      <text>
        <r>
          <rPr>
            <sz val="11"/>
            <color theme="1"/>
            <rFont val="Calibri"/>
            <family val="2"/>
            <scheme val="minor"/>
          </rPr>
          <t>Monto calculado automáticamente por el sistema</t>
        </r>
      </text>
    </comment>
    <comment ref="A57" authorId="1" shapeId="0" xr:uid="{2D8AB457-EF19-4B46-9374-8EDCC598A3E2}">
      <text>
        <r>
          <rPr>
            <sz val="11"/>
            <color theme="1"/>
            <rFont val="Calibri"/>
            <family val="2"/>
            <scheme val="minor"/>
          </rPr>
          <t>Introducir un texto con el nombre o referencia de la contratación</t>
        </r>
      </text>
    </comment>
    <comment ref="B57" authorId="1" shapeId="0" xr:uid="{76C7BD1E-A768-4D8E-9443-13D1657F15D9}">
      <text>
        <r>
          <rPr>
            <sz val="11"/>
            <color theme="1"/>
            <rFont val="Calibri"/>
            <family val="2"/>
            <scheme val="minor"/>
          </rPr>
          <t>Introduzca un texto con la finalidad de la contratación</t>
        </r>
      </text>
    </comment>
    <comment ref="C57" authorId="1" shapeId="0" xr:uid="{C10342F5-C070-424D-B572-86FC44F5DAE1}">
      <text>
        <r>
          <rPr>
            <sz val="11"/>
            <color theme="1"/>
            <rFont val="Calibri"/>
            <family val="2"/>
            <scheme val="minor"/>
          </rPr>
          <t>Seleccionar un valor del listado</t>
        </r>
      </text>
    </comment>
    <comment ref="D57" authorId="1" shapeId="0" xr:uid="{2AE9B6C6-75A1-4063-AB53-6325926B2DB9}">
      <text>
        <r>
          <rPr>
            <sz val="11"/>
            <color theme="1"/>
            <rFont val="Calibri"/>
            <family val="2"/>
            <scheme val="minor"/>
          </rPr>
          <t>Seleccione el tipo de procedimiento</t>
        </r>
      </text>
    </comment>
    <comment ref="E57" authorId="1" shapeId="0" xr:uid="{86A430F4-0B8D-457D-80E9-C442538BA4A1}">
      <text>
        <r>
          <rPr>
            <sz val="11"/>
            <color theme="1"/>
            <rFont val="Calibri"/>
            <family val="2"/>
            <scheme val="minor"/>
          </rPr>
          <t>Seleccione un valor de la lista</t>
        </r>
      </text>
    </comment>
    <comment ref="F57" authorId="1" shapeId="0" xr:uid="{071187B7-D79A-4D40-9AD3-B50EEFF2387C}">
      <text>
        <r>
          <rPr>
            <sz val="11"/>
            <color theme="1"/>
            <rFont val="Calibri"/>
            <family val="2"/>
            <scheme val="minor"/>
          </rPr>
          <t>Introduzca el código SNIP</t>
        </r>
      </text>
    </comment>
    <comment ref="C58" authorId="1" shapeId="0" xr:uid="{D6F9D9A0-1E4A-499D-9F7C-C9E2E8B0AD3E}">
      <text>
        <r>
          <rPr>
            <sz val="11"/>
            <color theme="1"/>
            <rFont val="Calibri"/>
            <family val="2"/>
            <scheme val="minor"/>
          </rPr>
          <t>Introduzca la fecha de inicio del proceso, en formato dd-mm-aaaa</t>
        </r>
      </text>
    </comment>
    <comment ref="F58" authorId="1" shapeId="0" xr:uid="{38E552EF-46B3-4296-A90F-F5F65E09A28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 authorId="1" shapeId="0" xr:uid="{788CBD63-2BE1-43DB-A960-DC206A9BF5B4}">
      <text/>
    </comment>
    <comment ref="C60" authorId="1" shapeId="0" xr:uid="{8D56B630-B982-4645-A6E6-14F6F362E634}">
      <text>
        <r>
          <rPr>
            <sz val="11"/>
            <color theme="1"/>
            <rFont val="Calibri"/>
            <family val="2"/>
            <scheme val="minor"/>
          </rPr>
          <t>Introduzca la fecha prevista de adjudicación, en formato dd-mm-aaaa</t>
        </r>
      </text>
    </comment>
    <comment ref="F60" authorId="1" shapeId="0" xr:uid="{EAF4FBF0-5236-4999-936F-15306B545BC1}">
      <text/>
    </comment>
    <comment ref="F61" authorId="1" shapeId="0" xr:uid="{65DE717E-7371-41CB-803B-3B4A7B20E783}">
      <text/>
    </comment>
    <comment ref="A63" authorId="1" shapeId="0" xr:uid="{3E2772FF-4048-4EFE-9943-BEBA837F3CA5}">
      <text>
        <r>
          <rPr>
            <sz val="11"/>
            <color theme="1"/>
            <rFont val="Calibri"/>
            <family val="2"/>
            <scheme val="minor"/>
          </rPr>
          <t>Introduzca un codigo UNSPSC</t>
        </r>
      </text>
    </comment>
    <comment ref="B63" authorId="1" shapeId="0" xr:uid="{4EDA31DC-EC99-4007-8D8B-8ED4181119F1}">
      <text>
        <r>
          <rPr>
            <sz val="11"/>
            <color theme="1"/>
            <rFont val="Calibri"/>
            <family val="2"/>
            <scheme val="minor"/>
          </rPr>
          <t>Descripción calculada automáticamente a partir de código del artículo</t>
        </r>
      </text>
    </comment>
    <comment ref="C63" authorId="1" shapeId="0" xr:uid="{FC9F18E5-6690-4DF4-9EBB-CA56C4A711AD}">
      <text>
        <r>
          <rPr>
            <sz val="11"/>
            <color theme="1"/>
            <rFont val="Calibri"/>
            <family val="2"/>
            <scheme val="minor"/>
          </rPr>
          <t>Seleccione un valor de la lista</t>
        </r>
      </text>
    </comment>
    <comment ref="D63" authorId="1" shapeId="0" xr:uid="{8F272A0C-9AC8-4529-894C-31998D29391F}">
      <text>
        <r>
          <rPr>
            <sz val="11"/>
            <color theme="1"/>
            <rFont val="Calibri"/>
            <family val="2"/>
            <scheme val="minor"/>
          </rPr>
          <t>Introduzca un número con dos decimales como máximo. Debe ser igual o mayor a la "Cantidad Real Consumida"</t>
        </r>
      </text>
    </comment>
    <comment ref="E63" authorId="1" shapeId="0" xr:uid="{933A3FAA-E777-405A-B48A-EC858992165A}">
      <text>
        <r>
          <rPr>
            <sz val="11"/>
            <color theme="1"/>
            <rFont val="Calibri"/>
            <family val="2"/>
            <scheme val="minor"/>
          </rPr>
          <t>Introduzca un número con dos decimales como máximo</t>
        </r>
      </text>
    </comment>
    <comment ref="F63" authorId="1" shapeId="0" xr:uid="{6000FAD8-9F24-4EA0-80E0-61EFFD89EC63}">
      <text>
        <r>
          <rPr>
            <sz val="11"/>
            <color theme="1"/>
            <rFont val="Calibri"/>
            <family val="2"/>
            <scheme val="minor"/>
          </rPr>
          <t>Monto calculado automáticamente por el sistema</t>
        </r>
      </text>
    </comment>
    <comment ref="A113" authorId="1" shapeId="0" xr:uid="{99EB0CB8-ECED-4D46-8D96-CC7A373B9983}">
      <text>
        <r>
          <rPr>
            <sz val="11"/>
            <color theme="1"/>
            <rFont val="Calibri"/>
            <family val="2"/>
            <scheme val="minor"/>
          </rPr>
          <t>Introducir un texto con el nombre o referencia de la contratación</t>
        </r>
      </text>
    </comment>
    <comment ref="B113" authorId="1" shapeId="0" xr:uid="{6F68AEC1-6108-4490-9B30-F5B7DBD644BC}">
      <text>
        <r>
          <rPr>
            <sz val="11"/>
            <color theme="1"/>
            <rFont val="Calibri"/>
            <family val="2"/>
            <scheme val="minor"/>
          </rPr>
          <t>Introduzca un texto con la finalidad de la contratación</t>
        </r>
      </text>
    </comment>
    <comment ref="C113" authorId="1" shapeId="0" xr:uid="{67CB15C7-2006-413B-99BE-0730EC957547}">
      <text>
        <r>
          <rPr>
            <sz val="11"/>
            <color theme="1"/>
            <rFont val="Calibri"/>
            <family val="2"/>
            <scheme val="minor"/>
          </rPr>
          <t>Seleccionar un valor del listado</t>
        </r>
      </text>
    </comment>
    <comment ref="D113" authorId="1" shapeId="0" xr:uid="{3176C1AE-CA4D-4BC6-98C9-70EA558FF9AC}">
      <text>
        <r>
          <rPr>
            <sz val="11"/>
            <color theme="1"/>
            <rFont val="Calibri"/>
            <family val="2"/>
            <scheme val="minor"/>
          </rPr>
          <t>Seleccione el tipo de procedimiento</t>
        </r>
      </text>
    </comment>
    <comment ref="E113" authorId="1" shapeId="0" xr:uid="{3D805EE6-787B-4819-A4C2-76FFFD68A5E2}">
      <text>
        <r>
          <rPr>
            <sz val="11"/>
            <color theme="1"/>
            <rFont val="Calibri"/>
            <family val="2"/>
            <scheme val="minor"/>
          </rPr>
          <t>Seleccione un valor de la lista</t>
        </r>
      </text>
    </comment>
    <comment ref="F113" authorId="1" shapeId="0" xr:uid="{F6B366AE-7ADD-4769-BA32-8ACC1662203A}">
      <text>
        <r>
          <rPr>
            <sz val="11"/>
            <color theme="1"/>
            <rFont val="Calibri"/>
            <family val="2"/>
            <scheme val="minor"/>
          </rPr>
          <t>Introduzca el código SNIP</t>
        </r>
      </text>
    </comment>
    <comment ref="C114" authorId="1" shapeId="0" xr:uid="{80D5110A-8E17-4BF2-857C-13A9006A57CA}">
      <text>
        <r>
          <rPr>
            <sz val="11"/>
            <color theme="1"/>
            <rFont val="Calibri"/>
            <family val="2"/>
            <scheme val="minor"/>
          </rPr>
          <t>Introduzca la fecha de inicio del proceso, en formato dd-mm-aaaa</t>
        </r>
      </text>
    </comment>
    <comment ref="F114" authorId="1" shapeId="0" xr:uid="{F557BF57-4088-4E44-BBD6-63D90D17A5F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 authorId="1" shapeId="0" xr:uid="{F78D591D-8736-4802-9627-48812B65EED8}">
      <text/>
    </comment>
    <comment ref="C116" authorId="1" shapeId="0" xr:uid="{B63AAD9C-06EB-445D-8CB0-3D62ED3E8A94}">
      <text>
        <r>
          <rPr>
            <sz val="11"/>
            <color theme="1"/>
            <rFont val="Calibri"/>
            <family val="2"/>
            <scheme val="minor"/>
          </rPr>
          <t>Introduzca la fecha prevista de adjudicación, en formato dd-mm-aaaa</t>
        </r>
      </text>
    </comment>
    <comment ref="F116" authorId="1" shapeId="0" xr:uid="{CBE557E0-C622-4E62-9366-C222F76DB092}">
      <text/>
    </comment>
    <comment ref="F117" authorId="1" shapeId="0" xr:uid="{49D1B219-7737-4D20-9B59-A38473BBBE18}">
      <text/>
    </comment>
    <comment ref="A119" authorId="1" shapeId="0" xr:uid="{9F9A199A-AD67-4894-BCD7-E3FA5375326F}">
      <text>
        <r>
          <rPr>
            <sz val="11"/>
            <color theme="1"/>
            <rFont val="Calibri"/>
            <family val="2"/>
            <scheme val="minor"/>
          </rPr>
          <t>Introduzca un codigo UNSPSC</t>
        </r>
      </text>
    </comment>
    <comment ref="B119" authorId="1" shapeId="0" xr:uid="{F19A12F6-8C32-4D69-969E-5600525EEC5A}">
      <text>
        <r>
          <rPr>
            <sz val="11"/>
            <color theme="1"/>
            <rFont val="Calibri"/>
            <family val="2"/>
            <scheme val="minor"/>
          </rPr>
          <t>Descripción calculada automáticamente a partir de código del artículo</t>
        </r>
      </text>
    </comment>
    <comment ref="C119" authorId="1" shapeId="0" xr:uid="{DD614F76-2638-4E65-BBB8-B7AFAD7778B7}">
      <text>
        <r>
          <rPr>
            <sz val="11"/>
            <color theme="1"/>
            <rFont val="Calibri"/>
            <family val="2"/>
            <scheme val="minor"/>
          </rPr>
          <t>Seleccione un valor de la lista</t>
        </r>
      </text>
    </comment>
    <comment ref="D119" authorId="1" shapeId="0" xr:uid="{62179236-731D-491C-A2C0-421FDA3DC457}">
      <text>
        <r>
          <rPr>
            <sz val="11"/>
            <color theme="1"/>
            <rFont val="Calibri"/>
            <family val="2"/>
            <scheme val="minor"/>
          </rPr>
          <t>Introduzca un número con dos decimales como máximo. Debe ser igual o mayor a la "Cantidad Real Consumida"</t>
        </r>
      </text>
    </comment>
    <comment ref="E119" authorId="1" shapeId="0" xr:uid="{49B9E2FB-40BA-43F9-B488-FEDD171FA138}">
      <text>
        <r>
          <rPr>
            <sz val="11"/>
            <color theme="1"/>
            <rFont val="Calibri"/>
            <family val="2"/>
            <scheme val="minor"/>
          </rPr>
          <t>Introduzca un número con dos decimales como máximo</t>
        </r>
      </text>
    </comment>
    <comment ref="F119" authorId="1" shapeId="0" xr:uid="{DAE48E69-0336-4403-A459-440793C873A1}">
      <text>
        <r>
          <rPr>
            <sz val="11"/>
            <color theme="1"/>
            <rFont val="Calibri"/>
            <family val="2"/>
            <scheme val="minor"/>
          </rPr>
          <t>Monto calculado automáticamente por el sistema</t>
        </r>
      </text>
    </comment>
    <comment ref="A135" authorId="1" shapeId="0" xr:uid="{58E6AC17-50A2-44AC-9202-4DF4907ED3BF}">
      <text>
        <r>
          <rPr>
            <sz val="11"/>
            <color theme="1"/>
            <rFont val="Calibri"/>
            <family val="2"/>
            <scheme val="minor"/>
          </rPr>
          <t>Introducir un texto con el nombre o referencia de la contratación</t>
        </r>
      </text>
    </comment>
    <comment ref="B135" authorId="1" shapeId="0" xr:uid="{E6712D94-DC69-4532-BD90-F91CA4150E8A}">
      <text>
        <r>
          <rPr>
            <sz val="11"/>
            <color theme="1"/>
            <rFont val="Calibri"/>
            <family val="2"/>
            <scheme val="minor"/>
          </rPr>
          <t>Introduzca un texto con la finalidad de la contratación</t>
        </r>
      </text>
    </comment>
    <comment ref="C135" authorId="1" shapeId="0" xr:uid="{ADDF7410-BF82-46F5-B9E4-7ED57DD6C2DD}">
      <text>
        <r>
          <rPr>
            <sz val="11"/>
            <color theme="1"/>
            <rFont val="Calibri"/>
            <family val="2"/>
            <scheme val="minor"/>
          </rPr>
          <t>Seleccionar un valor del listado</t>
        </r>
      </text>
    </comment>
    <comment ref="D135" authorId="1" shapeId="0" xr:uid="{E6B84737-F69E-4C6D-8934-A7B6A6CB0118}">
      <text>
        <r>
          <rPr>
            <sz val="11"/>
            <color theme="1"/>
            <rFont val="Calibri"/>
            <family val="2"/>
            <scheme val="minor"/>
          </rPr>
          <t>Seleccione el tipo de procedimiento</t>
        </r>
      </text>
    </comment>
    <comment ref="E135" authorId="1" shapeId="0" xr:uid="{89C8FABC-28A6-40F9-B608-17DE988876DA}">
      <text>
        <r>
          <rPr>
            <sz val="11"/>
            <color theme="1"/>
            <rFont val="Calibri"/>
            <family val="2"/>
            <scheme val="minor"/>
          </rPr>
          <t>Seleccione un valor de la lista</t>
        </r>
      </text>
    </comment>
    <comment ref="F135" authorId="1" shapeId="0" xr:uid="{BDB641E4-6A1E-453C-B97F-C1147E138003}">
      <text>
        <r>
          <rPr>
            <sz val="11"/>
            <color theme="1"/>
            <rFont val="Calibri"/>
            <family val="2"/>
            <scheme val="minor"/>
          </rPr>
          <t>Introduzca el código SNIP</t>
        </r>
      </text>
    </comment>
    <comment ref="C136" authorId="1" shapeId="0" xr:uid="{9C86F26B-970D-49D9-878A-07B41437B44D}">
      <text>
        <r>
          <rPr>
            <sz val="11"/>
            <color theme="1"/>
            <rFont val="Calibri"/>
            <family val="2"/>
            <scheme val="minor"/>
          </rPr>
          <t>Introduzca la fecha de inicio del proceso, en formato dd-mm-aaaa</t>
        </r>
      </text>
    </comment>
    <comment ref="F136" authorId="1" shapeId="0" xr:uid="{F0AA8B7E-85E4-41B5-9B09-1A5FA53317B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7" authorId="1" shapeId="0" xr:uid="{85CCFBDC-290B-4A7A-9D2A-2D746931981D}">
      <text/>
    </comment>
    <comment ref="C138" authorId="1" shapeId="0" xr:uid="{46183FDB-D43B-4D4D-81E2-5D9454000884}">
      <text>
        <r>
          <rPr>
            <sz val="11"/>
            <color theme="1"/>
            <rFont val="Calibri"/>
            <family val="2"/>
            <scheme val="minor"/>
          </rPr>
          <t>Introduzca la fecha prevista de adjudicación, en formato dd-mm-aaaa</t>
        </r>
      </text>
    </comment>
    <comment ref="F138" authorId="1" shapeId="0" xr:uid="{DA19D4CE-0278-437D-B6B9-5DB91D66FD71}">
      <text/>
    </comment>
    <comment ref="F139" authorId="1" shapeId="0" xr:uid="{708AE28A-360D-4BB0-BEAC-1BB73F91D9F9}">
      <text/>
    </comment>
    <comment ref="A141" authorId="1" shapeId="0" xr:uid="{28FC5A0C-3AAA-4C29-A298-E0DE28294823}">
      <text>
        <r>
          <rPr>
            <sz val="11"/>
            <color theme="1"/>
            <rFont val="Calibri"/>
            <family val="2"/>
            <scheme val="minor"/>
          </rPr>
          <t>Introduzca un codigo UNSPSC</t>
        </r>
      </text>
    </comment>
    <comment ref="B141" authorId="1" shapeId="0" xr:uid="{08A9879F-60FB-4DD0-82D9-2A13AC5F4421}">
      <text>
        <r>
          <rPr>
            <sz val="11"/>
            <color theme="1"/>
            <rFont val="Calibri"/>
            <family val="2"/>
            <scheme val="minor"/>
          </rPr>
          <t>Descripción calculada automáticamente a partir de código del artículo</t>
        </r>
      </text>
    </comment>
    <comment ref="C141" authorId="1" shapeId="0" xr:uid="{FE14AA98-8A63-47AF-BEE0-D49CF8E04137}">
      <text>
        <r>
          <rPr>
            <sz val="11"/>
            <color theme="1"/>
            <rFont val="Calibri"/>
            <family val="2"/>
            <scheme val="minor"/>
          </rPr>
          <t>Seleccione un valor de la lista</t>
        </r>
      </text>
    </comment>
    <comment ref="D141" authorId="1" shapeId="0" xr:uid="{C8497673-0FB3-4C1C-9BD3-30C97E10604C}">
      <text>
        <r>
          <rPr>
            <sz val="11"/>
            <color theme="1"/>
            <rFont val="Calibri"/>
            <family val="2"/>
            <scheme val="minor"/>
          </rPr>
          <t>Introduzca un número con dos decimales como máximo. Debe ser igual o mayor a la "Cantidad Real Consumida"</t>
        </r>
      </text>
    </comment>
    <comment ref="E141" authorId="1" shapeId="0" xr:uid="{8F4089F7-BB46-4604-ABD4-6AA39CD6B882}">
      <text>
        <r>
          <rPr>
            <sz val="11"/>
            <color theme="1"/>
            <rFont val="Calibri"/>
            <family val="2"/>
            <scheme val="minor"/>
          </rPr>
          <t>Introduzca un número con dos decimales como máximo</t>
        </r>
      </text>
    </comment>
    <comment ref="F141" authorId="1" shapeId="0" xr:uid="{7B3C4B8B-D0DB-435D-936B-4A547CD9D2AD}">
      <text>
        <r>
          <rPr>
            <sz val="11"/>
            <color theme="1"/>
            <rFont val="Calibri"/>
            <family val="2"/>
            <scheme val="minor"/>
          </rPr>
          <t>Monto calculado automáticamente por el sistema</t>
        </r>
      </text>
    </comment>
    <comment ref="A154" authorId="1" shapeId="0" xr:uid="{3CE410C1-7472-412B-9CFB-5053419CFCDF}">
      <text>
        <r>
          <rPr>
            <sz val="11"/>
            <color theme="1"/>
            <rFont val="Calibri"/>
            <family val="2"/>
            <scheme val="minor"/>
          </rPr>
          <t>Introducir un texto con el nombre o referencia de la contratación</t>
        </r>
      </text>
    </comment>
    <comment ref="B154" authorId="1" shapeId="0" xr:uid="{72F072EA-C01A-4AD2-A59D-5509EB175A48}">
      <text>
        <r>
          <rPr>
            <sz val="11"/>
            <color theme="1"/>
            <rFont val="Calibri"/>
            <family val="2"/>
            <scheme val="minor"/>
          </rPr>
          <t>Introduzca un texto con la finalidad de la contratación</t>
        </r>
      </text>
    </comment>
    <comment ref="C154" authorId="1" shapeId="0" xr:uid="{C8646970-0305-4D36-980F-74E4CCC84B15}">
      <text>
        <r>
          <rPr>
            <sz val="11"/>
            <color theme="1"/>
            <rFont val="Calibri"/>
            <family val="2"/>
            <scheme val="minor"/>
          </rPr>
          <t>Seleccionar un valor del listado</t>
        </r>
      </text>
    </comment>
    <comment ref="D154" authorId="1" shapeId="0" xr:uid="{2C018C29-7A7A-4D74-AC2C-C3B1230A87CD}">
      <text>
        <r>
          <rPr>
            <sz val="11"/>
            <color theme="1"/>
            <rFont val="Calibri"/>
            <family val="2"/>
            <scheme val="minor"/>
          </rPr>
          <t>Seleccione el tipo de procedimiento</t>
        </r>
      </text>
    </comment>
    <comment ref="E154" authorId="1" shapeId="0" xr:uid="{F9624F87-A31B-45FE-BB49-06F93A423E48}">
      <text>
        <r>
          <rPr>
            <sz val="11"/>
            <color theme="1"/>
            <rFont val="Calibri"/>
            <family val="2"/>
            <scheme val="minor"/>
          </rPr>
          <t>Seleccione un valor de la lista</t>
        </r>
      </text>
    </comment>
    <comment ref="F154" authorId="1" shapeId="0" xr:uid="{A6B74A70-64B4-4442-B702-F13CBD5C7229}">
      <text>
        <r>
          <rPr>
            <sz val="11"/>
            <color theme="1"/>
            <rFont val="Calibri"/>
            <family val="2"/>
            <scheme val="minor"/>
          </rPr>
          <t>Introduzca el código SNIP</t>
        </r>
      </text>
    </comment>
    <comment ref="C155" authorId="1" shapeId="0" xr:uid="{852C8C66-0157-422D-B240-7185BBD60FAB}">
      <text>
        <r>
          <rPr>
            <sz val="11"/>
            <color theme="1"/>
            <rFont val="Calibri"/>
            <family val="2"/>
            <scheme val="minor"/>
          </rPr>
          <t>Introduzca la fecha de inicio del proceso, en formato dd-mm-aaaa</t>
        </r>
      </text>
    </comment>
    <comment ref="F155" authorId="1" shapeId="0" xr:uid="{3F9D8167-2A5E-41EF-AD63-30B4365A940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6" authorId="1" shapeId="0" xr:uid="{4CCFBF0F-B21A-4ED2-A325-78D8466D97EC}">
      <text/>
    </comment>
    <comment ref="C157" authorId="1" shapeId="0" xr:uid="{DAFC8B76-D23A-45E9-9977-E4EEBBCDA9BF}">
      <text>
        <r>
          <rPr>
            <sz val="11"/>
            <color theme="1"/>
            <rFont val="Calibri"/>
            <family val="2"/>
            <scheme val="minor"/>
          </rPr>
          <t>Introduzca la fecha prevista de adjudicación, en formato dd-mm-aaaa</t>
        </r>
      </text>
    </comment>
    <comment ref="F157" authorId="1" shapeId="0" xr:uid="{74D193F1-EBF1-47D4-B71A-F0348ED12759}">
      <text/>
    </comment>
    <comment ref="F158" authorId="1" shapeId="0" xr:uid="{0149B914-DAD8-45B2-A34D-215C1F120723}">
      <text/>
    </comment>
    <comment ref="A160" authorId="1" shapeId="0" xr:uid="{FF0F48B6-8E3E-4C4D-A089-51B265905B63}">
      <text>
        <r>
          <rPr>
            <sz val="11"/>
            <color theme="1"/>
            <rFont val="Calibri"/>
            <family val="2"/>
            <scheme val="minor"/>
          </rPr>
          <t>Introduzca un codigo UNSPSC</t>
        </r>
      </text>
    </comment>
    <comment ref="B160" authorId="1" shapeId="0" xr:uid="{9C8F29D9-D3E2-434C-9B31-5739DF3A0681}">
      <text>
        <r>
          <rPr>
            <sz val="11"/>
            <color theme="1"/>
            <rFont val="Calibri"/>
            <family val="2"/>
            <scheme val="minor"/>
          </rPr>
          <t>Descripción calculada automáticamente a partir de código del artículo</t>
        </r>
      </text>
    </comment>
    <comment ref="C160" authorId="1" shapeId="0" xr:uid="{6D59487C-27C7-4DB2-A56C-B92F1B141782}">
      <text>
        <r>
          <rPr>
            <sz val="11"/>
            <color theme="1"/>
            <rFont val="Calibri"/>
            <family val="2"/>
            <scheme val="minor"/>
          </rPr>
          <t>Seleccione un valor de la lista</t>
        </r>
      </text>
    </comment>
    <comment ref="D160" authorId="1" shapeId="0" xr:uid="{4B8E6DA1-7A38-4F26-8E1A-7D4EA18246BF}">
      <text>
        <r>
          <rPr>
            <sz val="11"/>
            <color theme="1"/>
            <rFont val="Calibri"/>
            <family val="2"/>
            <scheme val="minor"/>
          </rPr>
          <t>Introduzca un número con dos decimales como máximo. Debe ser igual o mayor a la "Cantidad Real Consumida"</t>
        </r>
      </text>
    </comment>
    <comment ref="E160" authorId="1" shapeId="0" xr:uid="{8329A44B-B58F-4099-8365-12AE48BF303D}">
      <text>
        <r>
          <rPr>
            <sz val="11"/>
            <color theme="1"/>
            <rFont val="Calibri"/>
            <family val="2"/>
            <scheme val="minor"/>
          </rPr>
          <t>Introduzca un número con dos decimales como máximo</t>
        </r>
      </text>
    </comment>
    <comment ref="F160" authorId="1" shapeId="0" xr:uid="{CB260125-E886-46B9-8476-14F8E58F329B}">
      <text>
        <r>
          <rPr>
            <sz val="11"/>
            <color theme="1"/>
            <rFont val="Calibri"/>
            <family val="2"/>
            <scheme val="minor"/>
          </rPr>
          <t>Monto calculado automáticamente por el sistema</t>
        </r>
      </text>
    </comment>
    <comment ref="A165" authorId="1" shapeId="0" xr:uid="{CF606B8B-2A1E-40D9-BDAC-44DF4E7E9C55}">
      <text>
        <r>
          <rPr>
            <sz val="11"/>
            <color theme="1"/>
            <rFont val="Calibri"/>
            <family val="2"/>
            <scheme val="minor"/>
          </rPr>
          <t>Introducir un texto con el nombre o referencia de la contratación</t>
        </r>
      </text>
    </comment>
    <comment ref="B165" authorId="1" shapeId="0" xr:uid="{817B6CF8-E52C-4767-972F-D8372BC3D127}">
      <text>
        <r>
          <rPr>
            <sz val="11"/>
            <color theme="1"/>
            <rFont val="Calibri"/>
            <family val="2"/>
            <scheme val="minor"/>
          </rPr>
          <t>Introduzca un texto con la finalidad de la contratación</t>
        </r>
      </text>
    </comment>
    <comment ref="C165" authorId="1" shapeId="0" xr:uid="{EB8081D4-3484-4227-BC2A-17AEA943FE39}">
      <text>
        <r>
          <rPr>
            <sz val="11"/>
            <color theme="1"/>
            <rFont val="Calibri"/>
            <family val="2"/>
            <scheme val="minor"/>
          </rPr>
          <t>Seleccionar un valor del listado</t>
        </r>
      </text>
    </comment>
    <comment ref="D165" authorId="1" shapeId="0" xr:uid="{C3FDE90E-9F26-48C9-ACB1-3A59925115A6}">
      <text>
        <r>
          <rPr>
            <sz val="11"/>
            <color theme="1"/>
            <rFont val="Calibri"/>
            <family val="2"/>
            <scheme val="minor"/>
          </rPr>
          <t>Seleccione el tipo de procedimiento</t>
        </r>
      </text>
    </comment>
    <comment ref="E165" authorId="1" shapeId="0" xr:uid="{C749E90D-5876-4F40-AF6B-15D4E54E1982}">
      <text>
        <r>
          <rPr>
            <sz val="11"/>
            <color theme="1"/>
            <rFont val="Calibri"/>
            <family val="2"/>
            <scheme val="minor"/>
          </rPr>
          <t>Seleccione un valor de la lista</t>
        </r>
      </text>
    </comment>
    <comment ref="F165" authorId="1" shapeId="0" xr:uid="{B0BEE1AB-0784-42DE-9FE6-43857248C61F}">
      <text>
        <r>
          <rPr>
            <sz val="11"/>
            <color theme="1"/>
            <rFont val="Calibri"/>
            <family val="2"/>
            <scheme val="minor"/>
          </rPr>
          <t>Introduzca el código SNIP</t>
        </r>
      </text>
    </comment>
    <comment ref="C166" authorId="1" shapeId="0" xr:uid="{77AE7856-C23F-44EC-A423-27F334D06D58}">
      <text>
        <r>
          <rPr>
            <sz val="11"/>
            <color theme="1"/>
            <rFont val="Calibri"/>
            <family val="2"/>
            <scheme val="minor"/>
          </rPr>
          <t>Introduzca la fecha de inicio del proceso, en formato dd-mm-aaaa</t>
        </r>
      </text>
    </comment>
    <comment ref="F166" authorId="1" shapeId="0" xr:uid="{5F6028BF-DA1D-4A78-A37D-D15954F7A99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shapeId="0" xr:uid="{7969E2C3-CCE9-4FA8-B4F0-C5C17D98DFEC}">
      <text/>
    </comment>
    <comment ref="C168" authorId="1" shapeId="0" xr:uid="{2185F274-EB3F-480D-9DCF-0B817E29AE42}">
      <text>
        <r>
          <rPr>
            <sz val="11"/>
            <color theme="1"/>
            <rFont val="Calibri"/>
            <family val="2"/>
            <scheme val="minor"/>
          </rPr>
          <t>Introduzca la fecha prevista de adjudicación, en formato dd-mm-aaaa</t>
        </r>
      </text>
    </comment>
    <comment ref="F168" authorId="1" shapeId="0" xr:uid="{36ECE824-ED35-47CE-8236-AF8F7540F49A}">
      <text/>
    </comment>
    <comment ref="F169" authorId="1" shapeId="0" xr:uid="{0C14DA1E-88B2-4E6B-BCAE-6594B7EA5E00}">
      <text/>
    </comment>
    <comment ref="A171" authorId="1" shapeId="0" xr:uid="{FEBB9041-6667-471E-BFC8-A169224E2921}">
      <text>
        <r>
          <rPr>
            <sz val="11"/>
            <color theme="1"/>
            <rFont val="Calibri"/>
            <family val="2"/>
            <scheme val="minor"/>
          </rPr>
          <t>Introduzca un codigo UNSPSC</t>
        </r>
      </text>
    </comment>
    <comment ref="B171" authorId="1" shapeId="0" xr:uid="{E8E7A062-6787-43F3-9B88-EAB2DAE7E0F3}">
      <text>
        <r>
          <rPr>
            <sz val="11"/>
            <color theme="1"/>
            <rFont val="Calibri"/>
            <family val="2"/>
            <scheme val="minor"/>
          </rPr>
          <t>Descripción calculada automáticamente a partir de código del artículo</t>
        </r>
      </text>
    </comment>
    <comment ref="C171" authorId="1" shapeId="0" xr:uid="{35BCE724-44AA-4B0A-BC9D-42324CB74E84}">
      <text>
        <r>
          <rPr>
            <sz val="11"/>
            <color theme="1"/>
            <rFont val="Calibri"/>
            <family val="2"/>
            <scheme val="minor"/>
          </rPr>
          <t>Seleccione un valor de la lista</t>
        </r>
      </text>
    </comment>
    <comment ref="D171" authorId="1" shapeId="0" xr:uid="{9C7719AB-BE8F-4FA1-8120-3229C5350F51}">
      <text>
        <r>
          <rPr>
            <sz val="11"/>
            <color theme="1"/>
            <rFont val="Calibri"/>
            <family val="2"/>
            <scheme val="minor"/>
          </rPr>
          <t>Introduzca un número con dos decimales como máximo. Debe ser igual o mayor a la "Cantidad Real Consumida"</t>
        </r>
      </text>
    </comment>
    <comment ref="E171" authorId="1" shapeId="0" xr:uid="{44B61711-66F5-41A7-902D-5E3A1CCBEEA7}">
      <text>
        <r>
          <rPr>
            <sz val="11"/>
            <color theme="1"/>
            <rFont val="Calibri"/>
            <family val="2"/>
            <scheme val="minor"/>
          </rPr>
          <t>Introduzca un número con dos decimales como máximo</t>
        </r>
      </text>
    </comment>
    <comment ref="F171" authorId="1" shapeId="0" xr:uid="{94DE8A7C-EDB1-40FB-8A47-D2544D8106C7}">
      <text>
        <r>
          <rPr>
            <sz val="11"/>
            <color theme="1"/>
            <rFont val="Calibri"/>
            <family val="2"/>
            <scheme val="minor"/>
          </rPr>
          <t>Monto calculado automáticamente por el sistema</t>
        </r>
      </text>
    </comment>
    <comment ref="A176" authorId="1" shapeId="0" xr:uid="{B1D36709-3067-44BB-9566-D398A24F574D}">
      <text>
        <r>
          <rPr>
            <sz val="11"/>
            <color theme="1"/>
            <rFont val="Calibri"/>
            <family val="2"/>
            <scheme val="minor"/>
          </rPr>
          <t>Introducir un texto con el nombre o referencia de la contratación</t>
        </r>
      </text>
    </comment>
    <comment ref="B176" authorId="1" shapeId="0" xr:uid="{1428761D-7763-4B91-A997-E5409BA5ED04}">
      <text>
        <r>
          <rPr>
            <sz val="11"/>
            <color theme="1"/>
            <rFont val="Calibri"/>
            <family val="2"/>
            <scheme val="minor"/>
          </rPr>
          <t>Introduzca un texto con la finalidad de la contratación</t>
        </r>
      </text>
    </comment>
    <comment ref="C176" authorId="1" shapeId="0" xr:uid="{1151AD3D-CA7B-4AEB-926C-8A0B816FBC81}">
      <text>
        <r>
          <rPr>
            <sz val="11"/>
            <color theme="1"/>
            <rFont val="Calibri"/>
            <family val="2"/>
            <scheme val="minor"/>
          </rPr>
          <t>Seleccionar un valor del listado</t>
        </r>
      </text>
    </comment>
    <comment ref="D176" authorId="1" shapeId="0" xr:uid="{4B47D326-B1C3-4283-A726-3D65BC1F322B}">
      <text>
        <r>
          <rPr>
            <sz val="11"/>
            <color theme="1"/>
            <rFont val="Calibri"/>
            <family val="2"/>
            <scheme val="minor"/>
          </rPr>
          <t>Seleccione el tipo de procedimiento</t>
        </r>
      </text>
    </comment>
    <comment ref="E176" authorId="1" shapeId="0" xr:uid="{AC788BA0-8E8B-4A8C-86D8-A47CB4A90C4E}">
      <text>
        <r>
          <rPr>
            <sz val="11"/>
            <color theme="1"/>
            <rFont val="Calibri"/>
            <family val="2"/>
            <scheme val="minor"/>
          </rPr>
          <t>Seleccione un valor de la lista</t>
        </r>
      </text>
    </comment>
    <comment ref="F176" authorId="1" shapeId="0" xr:uid="{767EDA36-ED75-4DB2-AAD1-3B2AA47AA481}">
      <text>
        <r>
          <rPr>
            <sz val="11"/>
            <color theme="1"/>
            <rFont val="Calibri"/>
            <family val="2"/>
            <scheme val="minor"/>
          </rPr>
          <t>Introduzca el código SNIP</t>
        </r>
      </text>
    </comment>
    <comment ref="C177" authorId="1" shapeId="0" xr:uid="{62AAFB32-659F-439E-AF26-4FF746F05D58}">
      <text>
        <r>
          <rPr>
            <sz val="11"/>
            <color theme="1"/>
            <rFont val="Calibri"/>
            <family val="2"/>
            <scheme val="minor"/>
          </rPr>
          <t>Introduzca la fecha de inicio del proceso, en formato dd-mm-aaaa</t>
        </r>
      </text>
    </comment>
    <comment ref="F177" authorId="1" shapeId="0" xr:uid="{C8A06358-C5FC-4627-B537-30E5765771A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 authorId="1" shapeId="0" xr:uid="{497C5DF9-4A4D-4025-A47D-623D601A09FC}">
      <text/>
    </comment>
    <comment ref="C179" authorId="1" shapeId="0" xr:uid="{213EA316-73D2-4E7E-9B57-8C0A59713E8F}">
      <text>
        <r>
          <rPr>
            <sz val="11"/>
            <color theme="1"/>
            <rFont val="Calibri"/>
            <family val="2"/>
            <scheme val="minor"/>
          </rPr>
          <t>Introduzca la fecha prevista de adjudicación, en formato dd-mm-aaaa</t>
        </r>
      </text>
    </comment>
    <comment ref="F179" authorId="1" shapeId="0" xr:uid="{50F27BEE-A6E7-4F47-932C-A2E962862143}">
      <text/>
    </comment>
    <comment ref="F180" authorId="1" shapeId="0" xr:uid="{12620A7A-D9B5-4579-BF4C-663F1815C275}">
      <text/>
    </comment>
    <comment ref="A182" authorId="1" shapeId="0" xr:uid="{DCCB16D2-892A-44C2-B4E3-F55BE3E14DAD}">
      <text>
        <r>
          <rPr>
            <sz val="11"/>
            <color theme="1"/>
            <rFont val="Calibri"/>
            <family val="2"/>
            <scheme val="minor"/>
          </rPr>
          <t>Introduzca un codigo UNSPSC</t>
        </r>
      </text>
    </comment>
    <comment ref="B182" authorId="1" shapeId="0" xr:uid="{3B349A57-E4B0-4B6F-8552-8550FEBDA633}">
      <text>
        <r>
          <rPr>
            <sz val="11"/>
            <color theme="1"/>
            <rFont val="Calibri"/>
            <family val="2"/>
            <scheme val="minor"/>
          </rPr>
          <t>Descripción calculada automáticamente a partir de código del artículo</t>
        </r>
      </text>
    </comment>
    <comment ref="C182" authorId="1" shapeId="0" xr:uid="{5552F993-3119-423B-AE45-B74E67FCEA66}">
      <text>
        <r>
          <rPr>
            <sz val="11"/>
            <color theme="1"/>
            <rFont val="Calibri"/>
            <family val="2"/>
            <scheme val="minor"/>
          </rPr>
          <t>Seleccione un valor de la lista</t>
        </r>
      </text>
    </comment>
    <comment ref="D182" authorId="1" shapeId="0" xr:uid="{3995D0FD-4846-45E4-90CE-41A29F488607}">
      <text>
        <r>
          <rPr>
            <sz val="11"/>
            <color theme="1"/>
            <rFont val="Calibri"/>
            <family val="2"/>
            <scheme val="minor"/>
          </rPr>
          <t>Introduzca un número con dos decimales como máximo. Debe ser igual o mayor a la "Cantidad Real Consumida"</t>
        </r>
      </text>
    </comment>
    <comment ref="E182" authorId="1" shapeId="0" xr:uid="{0D2F6CCD-737C-484D-A237-2B2F749F03A7}">
      <text>
        <r>
          <rPr>
            <sz val="11"/>
            <color theme="1"/>
            <rFont val="Calibri"/>
            <family val="2"/>
            <scheme val="minor"/>
          </rPr>
          <t>Introduzca un número con dos decimales como máximo</t>
        </r>
      </text>
    </comment>
    <comment ref="F182" authorId="1" shapeId="0" xr:uid="{8010DFCC-5422-4217-A5AA-5349CE120B2A}">
      <text>
        <r>
          <rPr>
            <sz val="11"/>
            <color theme="1"/>
            <rFont val="Calibri"/>
            <family val="2"/>
            <scheme val="minor"/>
          </rPr>
          <t>Monto calculado automáticamente por el sistema</t>
        </r>
      </text>
    </comment>
    <comment ref="A189" authorId="1" shapeId="0" xr:uid="{153F6E42-8171-4E01-9610-1F9A011F1FB7}">
      <text>
        <r>
          <rPr>
            <sz val="11"/>
            <color theme="1"/>
            <rFont val="Calibri"/>
            <family val="2"/>
            <scheme val="minor"/>
          </rPr>
          <t>Introducir un texto con el nombre o referencia de la contratación</t>
        </r>
      </text>
    </comment>
    <comment ref="B189" authorId="1" shapeId="0" xr:uid="{8DB06B13-F0F4-44AC-8F58-18E9A9C03162}">
      <text>
        <r>
          <rPr>
            <sz val="11"/>
            <color theme="1"/>
            <rFont val="Calibri"/>
            <family val="2"/>
            <scheme val="minor"/>
          </rPr>
          <t>Introduzca un texto con la finalidad de la contratación</t>
        </r>
      </text>
    </comment>
    <comment ref="C189" authorId="1" shapeId="0" xr:uid="{93189BA3-0AF6-467D-B2A5-8C6B4F50C7F0}">
      <text>
        <r>
          <rPr>
            <sz val="11"/>
            <color theme="1"/>
            <rFont val="Calibri"/>
            <family val="2"/>
            <scheme val="minor"/>
          </rPr>
          <t>Seleccionar un valor del listado</t>
        </r>
      </text>
    </comment>
    <comment ref="D189" authorId="1" shapeId="0" xr:uid="{D5AFEC94-0C12-4A92-9E4C-E16748C48DEF}">
      <text>
        <r>
          <rPr>
            <sz val="11"/>
            <color theme="1"/>
            <rFont val="Calibri"/>
            <family val="2"/>
            <scheme val="minor"/>
          </rPr>
          <t>Seleccione el tipo de procedimiento</t>
        </r>
      </text>
    </comment>
    <comment ref="E189" authorId="1" shapeId="0" xr:uid="{0E627B68-45F1-4C04-B1BF-65655B246E71}">
      <text>
        <r>
          <rPr>
            <sz val="11"/>
            <color theme="1"/>
            <rFont val="Calibri"/>
            <family val="2"/>
            <scheme val="minor"/>
          </rPr>
          <t>Seleccione un valor de la lista</t>
        </r>
      </text>
    </comment>
    <comment ref="F189" authorId="1" shapeId="0" xr:uid="{79F46133-118C-4229-918D-9A18117B536B}">
      <text>
        <r>
          <rPr>
            <sz val="11"/>
            <color theme="1"/>
            <rFont val="Calibri"/>
            <family val="2"/>
            <scheme val="minor"/>
          </rPr>
          <t>Introduzca el código SNIP</t>
        </r>
      </text>
    </comment>
    <comment ref="C190" authorId="1" shapeId="0" xr:uid="{8842B2E2-27D0-4549-9592-44C8E72DFF5E}">
      <text>
        <r>
          <rPr>
            <sz val="11"/>
            <color theme="1"/>
            <rFont val="Calibri"/>
            <family val="2"/>
            <scheme val="minor"/>
          </rPr>
          <t>Introduzca la fecha de inicio del proceso, en formato dd-mm-aaaa</t>
        </r>
      </text>
    </comment>
    <comment ref="F190" authorId="1" shapeId="0" xr:uid="{C4EEFDD2-90C8-460B-A03C-91008CD89A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 authorId="1" shapeId="0" xr:uid="{10605FB5-4E7D-4239-A4F5-7F090AABDEA0}">
      <text/>
    </comment>
    <comment ref="C192" authorId="1" shapeId="0" xr:uid="{3B38B61B-EE84-420E-881D-5868C3EDB41F}">
      <text>
        <r>
          <rPr>
            <sz val="11"/>
            <color theme="1"/>
            <rFont val="Calibri"/>
            <family val="2"/>
            <scheme val="minor"/>
          </rPr>
          <t>Introduzca la fecha prevista de adjudicación, en formato dd-mm-aaaa</t>
        </r>
      </text>
    </comment>
    <comment ref="F192" authorId="1" shapeId="0" xr:uid="{F329DF66-94EF-4145-B2A3-D49559121ECA}">
      <text/>
    </comment>
    <comment ref="F193" authorId="1" shapeId="0" xr:uid="{2A5C5776-2C8D-43C9-95F3-B3D186BDB04B}">
      <text/>
    </comment>
    <comment ref="A195" authorId="1" shapeId="0" xr:uid="{BFE4B524-059D-49AA-B4B8-F9A8A25C58AF}">
      <text>
        <r>
          <rPr>
            <sz val="11"/>
            <color theme="1"/>
            <rFont val="Calibri"/>
            <family val="2"/>
            <scheme val="minor"/>
          </rPr>
          <t>Introduzca un codigo UNSPSC</t>
        </r>
      </text>
    </comment>
    <comment ref="B195" authorId="1" shapeId="0" xr:uid="{04F0D1D9-77CC-4B24-8AC9-248715DD033D}">
      <text>
        <r>
          <rPr>
            <sz val="11"/>
            <color theme="1"/>
            <rFont val="Calibri"/>
            <family val="2"/>
            <scheme val="minor"/>
          </rPr>
          <t>Descripción calculada automáticamente a partir de código del artículo</t>
        </r>
      </text>
    </comment>
    <comment ref="C195" authorId="1" shapeId="0" xr:uid="{8349F7AF-1A5B-492B-9FFB-8A6BCC1B1E1F}">
      <text>
        <r>
          <rPr>
            <sz val="11"/>
            <color theme="1"/>
            <rFont val="Calibri"/>
            <family val="2"/>
            <scheme val="minor"/>
          </rPr>
          <t>Seleccione un valor de la lista</t>
        </r>
      </text>
    </comment>
    <comment ref="D195" authorId="1" shapeId="0" xr:uid="{D3CA9DC9-907B-4983-93C0-74B42814E489}">
      <text>
        <r>
          <rPr>
            <sz val="11"/>
            <color theme="1"/>
            <rFont val="Calibri"/>
            <family val="2"/>
            <scheme val="minor"/>
          </rPr>
          <t>Introduzca un número con dos decimales como máximo. Debe ser igual o mayor a la "Cantidad Real Consumida"</t>
        </r>
      </text>
    </comment>
    <comment ref="E195" authorId="1" shapeId="0" xr:uid="{B93B2A18-E61F-4BF7-BD43-A55767FB884B}">
      <text>
        <r>
          <rPr>
            <sz val="11"/>
            <color theme="1"/>
            <rFont val="Calibri"/>
            <family val="2"/>
            <scheme val="minor"/>
          </rPr>
          <t>Introduzca un número con dos decimales como máximo</t>
        </r>
      </text>
    </comment>
    <comment ref="F195" authorId="1" shapeId="0" xr:uid="{07D641A2-ED63-4592-B13F-05066C1803C9}">
      <text>
        <r>
          <rPr>
            <sz val="11"/>
            <color theme="1"/>
            <rFont val="Calibri"/>
            <family val="2"/>
            <scheme val="minor"/>
          </rPr>
          <t>Monto calculado automáticamente por el sistema</t>
        </r>
      </text>
    </comment>
    <comment ref="A246" authorId="1" shapeId="0" xr:uid="{CFEC80F9-16CD-444D-A8F6-864939A480EE}">
      <text>
        <r>
          <rPr>
            <sz val="11"/>
            <color theme="1"/>
            <rFont val="Calibri"/>
            <family val="2"/>
            <scheme val="minor"/>
          </rPr>
          <t>Introducir un texto con el nombre o referencia de la contratación</t>
        </r>
      </text>
    </comment>
    <comment ref="B246" authorId="1" shapeId="0" xr:uid="{4AE3F043-8465-4C4B-951A-B9888B06FFE2}">
      <text>
        <r>
          <rPr>
            <sz val="11"/>
            <color theme="1"/>
            <rFont val="Calibri"/>
            <family val="2"/>
            <scheme val="minor"/>
          </rPr>
          <t>Introduzca un texto con la finalidad de la contratación</t>
        </r>
      </text>
    </comment>
    <comment ref="C246" authorId="1" shapeId="0" xr:uid="{3A1C6853-E9AC-4E42-9296-01B84A80EB20}">
      <text>
        <r>
          <rPr>
            <sz val="11"/>
            <color theme="1"/>
            <rFont val="Calibri"/>
            <family val="2"/>
            <scheme val="minor"/>
          </rPr>
          <t>Seleccionar un valor del listado</t>
        </r>
      </text>
    </comment>
    <comment ref="D246" authorId="1" shapeId="0" xr:uid="{21242DF7-04F6-4B6F-91E3-DBEF56F0E745}">
      <text>
        <r>
          <rPr>
            <sz val="11"/>
            <color theme="1"/>
            <rFont val="Calibri"/>
            <family val="2"/>
            <scheme val="minor"/>
          </rPr>
          <t>Seleccione el tipo de procedimiento</t>
        </r>
      </text>
    </comment>
    <comment ref="E246" authorId="1" shapeId="0" xr:uid="{175ECA81-ADC1-46A4-89A6-BB2C54CF33D3}">
      <text>
        <r>
          <rPr>
            <sz val="11"/>
            <color theme="1"/>
            <rFont val="Calibri"/>
            <family val="2"/>
            <scheme val="minor"/>
          </rPr>
          <t>Seleccione un valor de la lista</t>
        </r>
      </text>
    </comment>
    <comment ref="F246" authorId="1" shapeId="0" xr:uid="{6AC46665-306D-4587-B6C1-6938FCFE21F1}">
      <text>
        <r>
          <rPr>
            <sz val="11"/>
            <color theme="1"/>
            <rFont val="Calibri"/>
            <family val="2"/>
            <scheme val="minor"/>
          </rPr>
          <t>Introduzca el código SNIP</t>
        </r>
      </text>
    </comment>
    <comment ref="C247" authorId="1" shapeId="0" xr:uid="{23642D13-B679-41EE-A231-FEDD2794CD45}">
      <text>
        <r>
          <rPr>
            <sz val="11"/>
            <color theme="1"/>
            <rFont val="Calibri"/>
            <family val="2"/>
            <scheme val="minor"/>
          </rPr>
          <t>Introduzca la fecha de inicio del proceso, en formato dd-mm-aaaa</t>
        </r>
      </text>
    </comment>
    <comment ref="F247" authorId="1" shapeId="0" xr:uid="{90E51FEC-CF29-4DCC-8FBF-FC8256E277C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 authorId="1" shapeId="0" xr:uid="{9BFF49D4-4534-4EEA-A2B9-A234BA1134AD}">
      <text/>
    </comment>
    <comment ref="C249" authorId="1" shapeId="0" xr:uid="{A15F90CA-8ACC-4EAE-874F-261BAFA83300}">
      <text>
        <r>
          <rPr>
            <sz val="11"/>
            <color theme="1"/>
            <rFont val="Calibri"/>
            <family val="2"/>
            <scheme val="minor"/>
          </rPr>
          <t>Introduzca la fecha prevista de adjudicación, en formato dd-mm-aaaa</t>
        </r>
      </text>
    </comment>
    <comment ref="F249" authorId="1" shapeId="0" xr:uid="{88176DD9-9E05-442E-91AB-AD8EB9EE0317}">
      <text/>
    </comment>
    <comment ref="F250" authorId="1" shapeId="0" xr:uid="{4B13625A-EB2C-40F5-BED7-607B8535E974}">
      <text/>
    </comment>
    <comment ref="A252" authorId="1" shapeId="0" xr:uid="{B732E07F-DAC8-4BD9-BEA7-FB1FD7D7BE4C}">
      <text>
        <r>
          <rPr>
            <sz val="11"/>
            <color theme="1"/>
            <rFont val="Calibri"/>
            <family val="2"/>
            <scheme val="minor"/>
          </rPr>
          <t>Introduzca un codigo UNSPSC</t>
        </r>
      </text>
    </comment>
    <comment ref="B252" authorId="1" shapeId="0" xr:uid="{B5E64FEF-80B8-41E7-8F7E-AFD9F520A7BF}">
      <text>
        <r>
          <rPr>
            <sz val="11"/>
            <color theme="1"/>
            <rFont val="Calibri"/>
            <family val="2"/>
            <scheme val="minor"/>
          </rPr>
          <t>Descripción calculada automáticamente a partir de código del artículo</t>
        </r>
      </text>
    </comment>
    <comment ref="C252" authorId="1" shapeId="0" xr:uid="{02E506F5-5BFF-4289-B508-AC69F6DECFE7}">
      <text>
        <r>
          <rPr>
            <sz val="11"/>
            <color theme="1"/>
            <rFont val="Calibri"/>
            <family val="2"/>
            <scheme val="minor"/>
          </rPr>
          <t>Seleccione un valor de la lista</t>
        </r>
      </text>
    </comment>
    <comment ref="D252" authorId="1" shapeId="0" xr:uid="{920FB6DB-8AC1-42F0-9E19-423E75CB3538}">
      <text>
        <r>
          <rPr>
            <sz val="11"/>
            <color theme="1"/>
            <rFont val="Calibri"/>
            <family val="2"/>
            <scheme val="minor"/>
          </rPr>
          <t>Introduzca un número con dos decimales como máximo. Debe ser igual o mayor a la "Cantidad Real Consumida"</t>
        </r>
      </text>
    </comment>
    <comment ref="E252" authorId="1" shapeId="0" xr:uid="{C8CD5AC4-C96D-4851-B063-1B491011F79E}">
      <text>
        <r>
          <rPr>
            <sz val="11"/>
            <color theme="1"/>
            <rFont val="Calibri"/>
            <family val="2"/>
            <scheme val="minor"/>
          </rPr>
          <t>Introduzca un número con dos decimales como máximo</t>
        </r>
      </text>
    </comment>
    <comment ref="F252" authorId="1" shapeId="0" xr:uid="{6FCE1A74-7E65-4C07-B4C1-09EA1112231E}">
      <text>
        <r>
          <rPr>
            <sz val="11"/>
            <color theme="1"/>
            <rFont val="Calibri"/>
            <family val="2"/>
            <scheme val="minor"/>
          </rPr>
          <t>Monto calculado automáticamente por el sistema</t>
        </r>
      </text>
    </comment>
    <comment ref="A268" authorId="1" shapeId="0" xr:uid="{E84ACD1E-1C58-491A-B7BF-01E6A7D0B9C9}">
      <text>
        <r>
          <rPr>
            <sz val="11"/>
            <color theme="1"/>
            <rFont val="Calibri"/>
            <family val="2"/>
            <scheme val="minor"/>
          </rPr>
          <t>Introducir un texto con el nombre o referencia de la contratación</t>
        </r>
      </text>
    </comment>
    <comment ref="B268" authorId="1" shapeId="0" xr:uid="{06193FFD-24AB-4F53-907E-EF44F238FE7F}">
      <text>
        <r>
          <rPr>
            <sz val="11"/>
            <color theme="1"/>
            <rFont val="Calibri"/>
            <family val="2"/>
            <scheme val="minor"/>
          </rPr>
          <t>Introduzca un texto con la finalidad de la contratación</t>
        </r>
      </text>
    </comment>
    <comment ref="C268" authorId="1" shapeId="0" xr:uid="{CC27178D-98AA-4210-9EE2-5BE96A9E52BF}">
      <text>
        <r>
          <rPr>
            <sz val="11"/>
            <color theme="1"/>
            <rFont val="Calibri"/>
            <family val="2"/>
            <scheme val="minor"/>
          </rPr>
          <t>Seleccionar un valor del listado</t>
        </r>
      </text>
    </comment>
    <comment ref="D268" authorId="1" shapeId="0" xr:uid="{47E9A9EF-4B43-4D27-A8B9-04B070BD0026}">
      <text>
        <r>
          <rPr>
            <sz val="11"/>
            <color theme="1"/>
            <rFont val="Calibri"/>
            <family val="2"/>
            <scheme val="minor"/>
          </rPr>
          <t>Seleccione el tipo de procedimiento</t>
        </r>
      </text>
    </comment>
    <comment ref="E268" authorId="1" shapeId="0" xr:uid="{16A9F6CB-9519-4F23-B4A4-AF4E70421EA9}">
      <text>
        <r>
          <rPr>
            <sz val="11"/>
            <color theme="1"/>
            <rFont val="Calibri"/>
            <family val="2"/>
            <scheme val="minor"/>
          </rPr>
          <t>Seleccione un valor de la lista</t>
        </r>
      </text>
    </comment>
    <comment ref="F268" authorId="1" shapeId="0" xr:uid="{6D63CB87-6FA5-4FB5-B9C6-F878EA9F9241}">
      <text>
        <r>
          <rPr>
            <sz val="11"/>
            <color theme="1"/>
            <rFont val="Calibri"/>
            <family val="2"/>
            <scheme val="minor"/>
          </rPr>
          <t>Introduzca el código SNIP</t>
        </r>
      </text>
    </comment>
    <comment ref="C269" authorId="1" shapeId="0" xr:uid="{EB839698-D890-45FB-82BC-5E930749D1A9}">
      <text>
        <r>
          <rPr>
            <sz val="11"/>
            <color theme="1"/>
            <rFont val="Calibri"/>
            <family val="2"/>
            <scheme val="minor"/>
          </rPr>
          <t>Introduzca la fecha de inicio del proceso, en formato dd-mm-aaaa</t>
        </r>
      </text>
    </comment>
    <comment ref="F269" authorId="1" shapeId="0" xr:uid="{76A4B702-BD73-4596-BAF3-B9EBFBB15C5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0" authorId="1" shapeId="0" xr:uid="{0D4F598E-FDB1-4DC5-A8E0-0BE7A13403A3}">
      <text/>
    </comment>
    <comment ref="C271" authorId="1" shapeId="0" xr:uid="{3828C832-73A2-4850-B076-9D4DCA868D87}">
      <text>
        <r>
          <rPr>
            <sz val="11"/>
            <color theme="1"/>
            <rFont val="Calibri"/>
            <family val="2"/>
            <scheme val="minor"/>
          </rPr>
          <t>Introduzca la fecha prevista de adjudicación, en formato dd-mm-aaaa</t>
        </r>
      </text>
    </comment>
    <comment ref="F271" authorId="1" shapeId="0" xr:uid="{8BBC3101-8CDA-475C-B7A7-0D2B53EB8574}">
      <text/>
    </comment>
    <comment ref="F272" authorId="1" shapeId="0" xr:uid="{B046200D-D8AB-4115-9D77-AE918A1AE5C8}">
      <text/>
    </comment>
    <comment ref="A274" authorId="1" shapeId="0" xr:uid="{818FAA7A-B4AB-4091-82D5-12484C1C1EDE}">
      <text>
        <r>
          <rPr>
            <sz val="11"/>
            <color theme="1"/>
            <rFont val="Calibri"/>
            <family val="2"/>
            <scheme val="minor"/>
          </rPr>
          <t>Introduzca un codigo UNSPSC</t>
        </r>
      </text>
    </comment>
    <comment ref="B274" authorId="1" shapeId="0" xr:uid="{72171EFB-C2E9-4B12-A95D-8552C7933C2E}">
      <text>
        <r>
          <rPr>
            <sz val="11"/>
            <color theme="1"/>
            <rFont val="Calibri"/>
            <family val="2"/>
            <scheme val="minor"/>
          </rPr>
          <t>Descripción calculada automáticamente a partir de código del artículo</t>
        </r>
      </text>
    </comment>
    <comment ref="C274" authorId="1" shapeId="0" xr:uid="{BFBD9FC2-A7A3-497A-90C4-CECAF2007273}">
      <text>
        <r>
          <rPr>
            <sz val="11"/>
            <color theme="1"/>
            <rFont val="Calibri"/>
            <family val="2"/>
            <scheme val="minor"/>
          </rPr>
          <t>Seleccione un valor de la lista</t>
        </r>
      </text>
    </comment>
    <comment ref="D274" authorId="1" shapeId="0" xr:uid="{67830DDA-DE3D-4E1F-A585-53078C15D8BB}">
      <text>
        <r>
          <rPr>
            <sz val="11"/>
            <color theme="1"/>
            <rFont val="Calibri"/>
            <family val="2"/>
            <scheme val="minor"/>
          </rPr>
          <t>Introduzca un número con dos decimales como máximo. Debe ser igual o mayor a la "Cantidad Real Consumida"</t>
        </r>
      </text>
    </comment>
    <comment ref="E274" authorId="1" shapeId="0" xr:uid="{67C0B087-8C32-4509-A12F-13B4E8646272}">
      <text>
        <r>
          <rPr>
            <sz val="11"/>
            <color theme="1"/>
            <rFont val="Calibri"/>
            <family val="2"/>
            <scheme val="minor"/>
          </rPr>
          <t>Introduzca un número con dos decimales como máximo</t>
        </r>
      </text>
    </comment>
    <comment ref="F274" authorId="1" shapeId="0" xr:uid="{A146B4F6-54D4-4616-A687-DDC92DB0D314}">
      <text>
        <r>
          <rPr>
            <sz val="11"/>
            <color theme="1"/>
            <rFont val="Calibri"/>
            <family val="2"/>
            <scheme val="minor"/>
          </rPr>
          <t>Monto calculado automáticamente por el sistema</t>
        </r>
      </text>
    </comment>
    <comment ref="A288" authorId="1" shapeId="0" xr:uid="{5CA8FF69-34B1-4024-ABB2-86DB44A7D4A5}">
      <text>
        <r>
          <rPr>
            <sz val="11"/>
            <color theme="1"/>
            <rFont val="Calibri"/>
            <family val="2"/>
            <scheme val="minor"/>
          </rPr>
          <t>Introducir un texto con el nombre o referencia de la contratación</t>
        </r>
      </text>
    </comment>
    <comment ref="B288" authorId="1" shapeId="0" xr:uid="{F2DE541F-2A90-4713-8E36-8D422EB7B029}">
      <text>
        <r>
          <rPr>
            <sz val="11"/>
            <color theme="1"/>
            <rFont val="Calibri"/>
            <family val="2"/>
            <scheme val="minor"/>
          </rPr>
          <t>Introduzca un texto con la finalidad de la contratación</t>
        </r>
      </text>
    </comment>
    <comment ref="C288" authorId="1" shapeId="0" xr:uid="{C2544709-ED01-482F-9B5E-94E450AC88D4}">
      <text>
        <r>
          <rPr>
            <sz val="11"/>
            <color theme="1"/>
            <rFont val="Calibri"/>
            <family val="2"/>
            <scheme val="minor"/>
          </rPr>
          <t>Seleccionar un valor del listado</t>
        </r>
      </text>
    </comment>
    <comment ref="D288" authorId="1" shapeId="0" xr:uid="{6E052A69-0ED3-49F7-9B05-FA1E11F1083E}">
      <text>
        <r>
          <rPr>
            <sz val="11"/>
            <color theme="1"/>
            <rFont val="Calibri"/>
            <family val="2"/>
            <scheme val="minor"/>
          </rPr>
          <t>Seleccione el tipo de procedimiento</t>
        </r>
      </text>
    </comment>
    <comment ref="E288" authorId="1" shapeId="0" xr:uid="{C837CB16-582E-42C5-9BE8-2D8588D93F44}">
      <text>
        <r>
          <rPr>
            <sz val="11"/>
            <color theme="1"/>
            <rFont val="Calibri"/>
            <family val="2"/>
            <scheme val="minor"/>
          </rPr>
          <t>Seleccione un valor de la lista</t>
        </r>
      </text>
    </comment>
    <comment ref="F288" authorId="1" shapeId="0" xr:uid="{1A6C7910-7A3B-4D23-AA7A-F7E535702D13}">
      <text>
        <r>
          <rPr>
            <sz val="11"/>
            <color theme="1"/>
            <rFont val="Calibri"/>
            <family val="2"/>
            <scheme val="minor"/>
          </rPr>
          <t>Introduzca el código SNIP</t>
        </r>
      </text>
    </comment>
    <comment ref="C289" authorId="1" shapeId="0" xr:uid="{F3AD5226-C5FE-4A8E-9B01-393B6E605840}">
      <text>
        <r>
          <rPr>
            <sz val="11"/>
            <color theme="1"/>
            <rFont val="Calibri"/>
            <family val="2"/>
            <scheme val="minor"/>
          </rPr>
          <t>Introduzca la fecha de inicio del proceso, en formato dd-mm-aaaa</t>
        </r>
      </text>
    </comment>
    <comment ref="F289" authorId="1" shapeId="0" xr:uid="{C4B9A9DF-26FD-447C-B466-CC60D58DA8F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0" authorId="1" shapeId="0" xr:uid="{48014ED2-5A66-4380-9F0B-6B78578F9F94}">
      <text/>
    </comment>
    <comment ref="C291" authorId="1" shapeId="0" xr:uid="{D507DDDB-B154-4036-ABCA-D5022495982E}">
      <text>
        <r>
          <rPr>
            <sz val="11"/>
            <color theme="1"/>
            <rFont val="Calibri"/>
            <family val="2"/>
            <scheme val="minor"/>
          </rPr>
          <t>Introduzca la fecha prevista de adjudicación, en formato dd-mm-aaaa</t>
        </r>
      </text>
    </comment>
    <comment ref="F291" authorId="1" shapeId="0" xr:uid="{97D8D919-0EA0-4BF5-B03B-BB3B74FA58A2}">
      <text/>
    </comment>
    <comment ref="F292" authorId="1" shapeId="0" xr:uid="{06279C6D-AC6E-4252-8D3D-25F209252240}">
      <text/>
    </comment>
    <comment ref="A294" authorId="1" shapeId="0" xr:uid="{FA2BFE74-772C-4E6B-8479-46F527FE9308}">
      <text>
        <r>
          <rPr>
            <sz val="11"/>
            <color theme="1"/>
            <rFont val="Calibri"/>
            <family val="2"/>
            <scheme val="minor"/>
          </rPr>
          <t>Introduzca un codigo UNSPSC</t>
        </r>
      </text>
    </comment>
    <comment ref="B294" authorId="1" shapeId="0" xr:uid="{2B0CB26D-5471-4D24-866B-C422B28D639E}">
      <text>
        <r>
          <rPr>
            <sz val="11"/>
            <color theme="1"/>
            <rFont val="Calibri"/>
            <family val="2"/>
            <scheme val="minor"/>
          </rPr>
          <t>Descripción calculada automáticamente a partir de código del artículo</t>
        </r>
      </text>
    </comment>
    <comment ref="C294" authorId="1" shapeId="0" xr:uid="{4A028D94-4ADE-406F-9B10-E91E58E5BDA9}">
      <text>
        <r>
          <rPr>
            <sz val="11"/>
            <color theme="1"/>
            <rFont val="Calibri"/>
            <family val="2"/>
            <scheme val="minor"/>
          </rPr>
          <t>Seleccione un valor de la lista</t>
        </r>
      </text>
    </comment>
    <comment ref="D294" authorId="1" shapeId="0" xr:uid="{4259DF76-19E2-4964-B66B-2D91D6F7DD6A}">
      <text>
        <r>
          <rPr>
            <sz val="11"/>
            <color theme="1"/>
            <rFont val="Calibri"/>
            <family val="2"/>
            <scheme val="minor"/>
          </rPr>
          <t>Introduzca un número con dos decimales como máximo. Debe ser igual o mayor a la "Cantidad Real Consumida"</t>
        </r>
      </text>
    </comment>
    <comment ref="E294" authorId="1" shapeId="0" xr:uid="{57144E1A-FAA5-4A96-8A44-F7901AFD935D}">
      <text>
        <r>
          <rPr>
            <sz val="11"/>
            <color theme="1"/>
            <rFont val="Calibri"/>
            <family val="2"/>
            <scheme val="minor"/>
          </rPr>
          <t>Introduzca un número con dos decimales como máximo</t>
        </r>
      </text>
    </comment>
    <comment ref="F294" authorId="1" shapeId="0" xr:uid="{FD4DCD14-4784-47D0-A02C-37DC995ECF44}">
      <text>
        <r>
          <rPr>
            <sz val="11"/>
            <color theme="1"/>
            <rFont val="Calibri"/>
            <family val="2"/>
            <scheme val="minor"/>
          </rPr>
          <t>Monto calculado automáticamente por el sistema</t>
        </r>
      </text>
    </comment>
    <comment ref="A299" authorId="2" shapeId="0" xr:uid="{6D199741-2B27-496E-B10E-DD7A30E63FDA}">
      <text>
        <r>
          <rPr>
            <sz val="11"/>
            <color theme="1"/>
            <rFont val="Calibri"/>
            <family val="2"/>
            <scheme val="minor"/>
          </rPr>
          <t>Introducir un texto con el nombre o referencia de la contratación</t>
        </r>
      </text>
    </comment>
    <comment ref="B299" authorId="2" shapeId="0" xr:uid="{38D60475-8A19-4D42-A7DC-6B3797F9CA3C}">
      <text>
        <r>
          <rPr>
            <sz val="11"/>
            <color theme="1"/>
            <rFont val="Calibri"/>
            <family val="2"/>
            <scheme val="minor"/>
          </rPr>
          <t>Introduzca un texto con la finalidad de la contratación</t>
        </r>
      </text>
    </comment>
    <comment ref="C299" authorId="2" shapeId="0" xr:uid="{4BA8E5CD-46FB-4B8A-8EFF-9256B1FEB24C}">
      <text>
        <r>
          <rPr>
            <sz val="11"/>
            <color theme="1"/>
            <rFont val="Calibri"/>
            <family val="2"/>
            <scheme val="minor"/>
          </rPr>
          <t>Seleccionar un valor del listado</t>
        </r>
      </text>
    </comment>
    <comment ref="D299" authorId="2" shapeId="0" xr:uid="{EFE9EE9E-8C2A-4073-AB80-900D32D73751}">
      <text>
        <r>
          <rPr>
            <sz val="11"/>
            <color theme="1"/>
            <rFont val="Calibri"/>
            <family val="2"/>
            <scheme val="minor"/>
          </rPr>
          <t>Seleccione el tipo de procedimiento</t>
        </r>
      </text>
    </comment>
    <comment ref="E299" authorId="2" shapeId="0" xr:uid="{852ED773-0324-457D-A884-1B1E16620E66}">
      <text>
        <r>
          <rPr>
            <sz val="11"/>
            <color theme="1"/>
            <rFont val="Calibri"/>
            <family val="2"/>
            <scheme val="minor"/>
          </rPr>
          <t>Seleccione un valor de la lista</t>
        </r>
      </text>
    </comment>
    <comment ref="F299" authorId="2" shapeId="0" xr:uid="{A16259B9-8F67-4336-91D4-E39B97E4DFC5}">
      <text>
        <r>
          <rPr>
            <sz val="11"/>
            <color theme="1"/>
            <rFont val="Calibri"/>
            <family val="2"/>
            <scheme val="minor"/>
          </rPr>
          <t>Introduzca el código SNIP</t>
        </r>
      </text>
    </comment>
    <comment ref="C300" authorId="2" shapeId="0" xr:uid="{C2D976A1-2F56-40ED-83AE-AB446B9EB0E4}">
      <text>
        <r>
          <rPr>
            <sz val="11"/>
            <color theme="1"/>
            <rFont val="Calibri"/>
            <family val="2"/>
            <scheme val="minor"/>
          </rPr>
          <t>Introduzca la fecha de inicio del proceso, en formato dd-mm-aaaa</t>
        </r>
      </text>
    </comment>
    <comment ref="F300" authorId="2" shapeId="0" xr:uid="{DEB4D358-2DDD-4786-8675-C258A3B6E9C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1" authorId="2" shapeId="0" xr:uid="{6DA0683D-9891-4859-9480-55910A84296D}">
      <text/>
    </comment>
    <comment ref="C302" authorId="2" shapeId="0" xr:uid="{BA6CDEDD-4ECA-41A7-B145-FDDE72605041}">
      <text>
        <r>
          <rPr>
            <sz val="11"/>
            <color theme="1"/>
            <rFont val="Calibri"/>
            <family val="2"/>
            <scheme val="minor"/>
          </rPr>
          <t>Introduzca la fecha prevista de adjudicación, en formato dd-mm-aaaa</t>
        </r>
      </text>
    </comment>
    <comment ref="F302" authorId="2" shapeId="0" xr:uid="{E66DD7B0-B488-44CA-8C7E-106FCCD04F16}">
      <text/>
    </comment>
    <comment ref="F303" authorId="2" shapeId="0" xr:uid="{233EB745-7A3E-478E-B2DB-C573DE0CC4B1}">
      <text/>
    </comment>
    <comment ref="A305" authorId="2" shapeId="0" xr:uid="{D9286488-0C34-4432-8A4B-B2BFDE868A88}">
      <text>
        <r>
          <rPr>
            <sz val="11"/>
            <color theme="1"/>
            <rFont val="Calibri"/>
            <family val="2"/>
            <scheme val="minor"/>
          </rPr>
          <t>Introduzca un codigo UNSPSC</t>
        </r>
      </text>
    </comment>
    <comment ref="B305" authorId="2" shapeId="0" xr:uid="{E21A1A72-2081-4DBA-84D2-3804EF5E37DC}">
      <text>
        <r>
          <rPr>
            <sz val="11"/>
            <color theme="1"/>
            <rFont val="Calibri"/>
            <family val="2"/>
            <scheme val="minor"/>
          </rPr>
          <t>Descripción calculada automáticamente a partir de código del artículo</t>
        </r>
      </text>
    </comment>
    <comment ref="C305" authorId="2" shapeId="0" xr:uid="{DEFE88FA-F2E8-4092-A074-9E12902374FD}">
      <text>
        <r>
          <rPr>
            <sz val="11"/>
            <color theme="1"/>
            <rFont val="Calibri"/>
            <family val="2"/>
            <scheme val="minor"/>
          </rPr>
          <t>Seleccione un valor de la lista</t>
        </r>
      </text>
    </comment>
    <comment ref="D305" authorId="2" shapeId="0" xr:uid="{174E2C4E-19D3-4EE8-8D70-C0B6AD8269B4}">
      <text>
        <r>
          <rPr>
            <sz val="11"/>
            <color theme="1"/>
            <rFont val="Calibri"/>
            <family val="2"/>
            <scheme val="minor"/>
          </rPr>
          <t>Introduzca un número con dos decimales como máximo. Debe ser igual o mayor a la "Cantidad Real Consumida"</t>
        </r>
      </text>
    </comment>
    <comment ref="E305" authorId="2" shapeId="0" xr:uid="{3722FAC4-5110-4A61-B345-1489274D8077}">
      <text>
        <r>
          <rPr>
            <sz val="11"/>
            <color theme="1"/>
            <rFont val="Calibri"/>
            <family val="2"/>
            <scheme val="minor"/>
          </rPr>
          <t>Introduzca un número con dos decimales como máximo</t>
        </r>
      </text>
    </comment>
    <comment ref="F305" authorId="2" shapeId="0" xr:uid="{B8F5FBA3-4557-4190-8FA7-0D040CF94192}">
      <text>
        <r>
          <rPr>
            <sz val="11"/>
            <color theme="1"/>
            <rFont val="Calibri"/>
            <family val="2"/>
            <scheme val="minor"/>
          </rPr>
          <t>Monto calculado automáticamente por el sistema</t>
        </r>
      </text>
    </comment>
    <comment ref="A312" authorId="1" shapeId="0" xr:uid="{E604AD82-1E04-416A-91A1-4E61BCB13C75}">
      <text>
        <r>
          <rPr>
            <sz val="11"/>
            <color theme="1"/>
            <rFont val="Calibri"/>
            <family val="2"/>
            <scheme val="minor"/>
          </rPr>
          <t>Introducir un texto con el nombre o referencia de la contratación</t>
        </r>
      </text>
    </comment>
    <comment ref="B312" authorId="2" shapeId="0" xr:uid="{9EC11104-C40B-4B2B-A1EC-63AE3C0BEA82}">
      <text>
        <r>
          <rPr>
            <sz val="11"/>
            <color theme="1"/>
            <rFont val="Calibri"/>
            <family val="2"/>
            <scheme val="minor"/>
          </rPr>
          <t>Introduzca un texto con la finalidad de la contratación</t>
        </r>
      </text>
    </comment>
    <comment ref="C312" authorId="2" shapeId="0" xr:uid="{3ED6B8E0-F02E-47EF-BFA1-A7EFBEC6437B}">
      <text>
        <r>
          <rPr>
            <sz val="11"/>
            <color theme="1"/>
            <rFont val="Calibri"/>
            <family val="2"/>
            <scheme val="minor"/>
          </rPr>
          <t>Seleccionar un valor del listado</t>
        </r>
      </text>
    </comment>
    <comment ref="D312" authorId="2" shapeId="0" xr:uid="{10FD7E31-5B2B-4B22-906A-8D5F6B18B677}">
      <text>
        <r>
          <rPr>
            <sz val="11"/>
            <color theme="1"/>
            <rFont val="Calibri"/>
            <family val="2"/>
            <scheme val="minor"/>
          </rPr>
          <t>Seleccione el tipo de procedimiento</t>
        </r>
      </text>
    </comment>
    <comment ref="E312" authorId="2" shapeId="0" xr:uid="{1271AD0F-1E35-4463-9473-8E94763A8D57}">
      <text>
        <r>
          <rPr>
            <sz val="11"/>
            <color theme="1"/>
            <rFont val="Calibri"/>
            <family val="2"/>
            <scheme val="minor"/>
          </rPr>
          <t>Seleccione un valor de la lista</t>
        </r>
      </text>
    </comment>
    <comment ref="F312" authorId="2" shapeId="0" xr:uid="{51AF21C7-9C11-41BB-B0A2-1CBDFB870669}">
      <text>
        <r>
          <rPr>
            <sz val="11"/>
            <color theme="1"/>
            <rFont val="Calibri"/>
            <family val="2"/>
            <scheme val="minor"/>
          </rPr>
          <t>Introduzca el código SNIP</t>
        </r>
      </text>
    </comment>
    <comment ref="C313" authorId="2" shapeId="0" xr:uid="{695AB165-EC7A-41D8-88C2-F6F7B5C580E3}">
      <text>
        <r>
          <rPr>
            <sz val="11"/>
            <color theme="1"/>
            <rFont val="Calibri"/>
            <family val="2"/>
            <scheme val="minor"/>
          </rPr>
          <t>Introduzca la fecha de inicio del proceso, en formato dd-mm-aaaa</t>
        </r>
      </text>
    </comment>
    <comment ref="F313" authorId="2" shapeId="0" xr:uid="{2FC3408A-0857-4CE1-805E-8873C935725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4" authorId="2" shapeId="0" xr:uid="{0684C3F5-C4AD-4F4A-B33C-E0A0B2E99CF4}">
      <text/>
    </comment>
    <comment ref="C315" authorId="2" shapeId="0" xr:uid="{4E1C2843-E4FE-4830-AEF8-0046643C4FB6}">
      <text>
        <r>
          <rPr>
            <sz val="11"/>
            <color theme="1"/>
            <rFont val="Calibri"/>
            <family val="2"/>
            <scheme val="minor"/>
          </rPr>
          <t>Introduzca la fecha prevista de adjudicación, en formato dd-mm-aaaa</t>
        </r>
      </text>
    </comment>
    <comment ref="F315" authorId="2" shapeId="0" xr:uid="{87D820AD-344C-4CA4-8CF3-7CBA9CFBDF24}">
      <text/>
    </comment>
    <comment ref="F316" authorId="2" shapeId="0" xr:uid="{1B6EE4BD-9BA9-452B-AB3D-1649B6F773A3}">
      <text/>
    </comment>
    <comment ref="A318" authorId="2" shapeId="0" xr:uid="{2D6E1FC4-952C-42F3-882C-1A5143341E19}">
      <text>
        <r>
          <rPr>
            <sz val="11"/>
            <color theme="1"/>
            <rFont val="Calibri"/>
            <family val="2"/>
            <scheme val="minor"/>
          </rPr>
          <t>Introduzca un codigo UNSPSC</t>
        </r>
      </text>
    </comment>
    <comment ref="B318" authorId="2" shapeId="0" xr:uid="{FE1EFA93-6328-4087-BFF8-965431549B02}">
      <text>
        <r>
          <rPr>
            <sz val="11"/>
            <color theme="1"/>
            <rFont val="Calibri"/>
            <family val="2"/>
            <scheme val="minor"/>
          </rPr>
          <t>Descripción calculada automáticamente a partir de código del artículo</t>
        </r>
      </text>
    </comment>
    <comment ref="C318" authorId="2" shapeId="0" xr:uid="{3943D298-56E7-4275-8BBD-2892058A45E1}">
      <text>
        <r>
          <rPr>
            <sz val="11"/>
            <color theme="1"/>
            <rFont val="Calibri"/>
            <family val="2"/>
            <scheme val="minor"/>
          </rPr>
          <t>Seleccione un valor de la lista</t>
        </r>
      </text>
    </comment>
    <comment ref="D318" authorId="2" shapeId="0" xr:uid="{60807AEF-987C-4696-8E11-B532C2EE25C5}">
      <text>
        <r>
          <rPr>
            <sz val="11"/>
            <color theme="1"/>
            <rFont val="Calibri"/>
            <family val="2"/>
            <scheme val="minor"/>
          </rPr>
          <t>Introduzca un número con dos decimales como máximo. Debe ser igual o mayor a la "Cantidad Real Consumida"</t>
        </r>
      </text>
    </comment>
    <comment ref="E318" authorId="2" shapeId="0" xr:uid="{2238231F-54FA-42E3-9E87-A96B1E523B46}">
      <text>
        <r>
          <rPr>
            <sz val="11"/>
            <color theme="1"/>
            <rFont val="Calibri"/>
            <family val="2"/>
            <scheme val="minor"/>
          </rPr>
          <t>Introduzca un número con dos decimales como máximo</t>
        </r>
      </text>
    </comment>
    <comment ref="F318" authorId="2" shapeId="0" xr:uid="{2F86C5A5-92F8-4F15-B8A8-7328BB48F272}">
      <text>
        <r>
          <rPr>
            <sz val="11"/>
            <color theme="1"/>
            <rFont val="Calibri"/>
            <family val="2"/>
            <scheme val="minor"/>
          </rPr>
          <t>Monto calculado automáticamente por el sistema</t>
        </r>
      </text>
    </comment>
    <comment ref="A323" authorId="2" shapeId="0" xr:uid="{9A6B749F-ACA5-4317-8626-3A09B7FCAE6F}">
      <text>
        <r>
          <rPr>
            <sz val="11"/>
            <color theme="1"/>
            <rFont val="Calibri"/>
            <family val="2"/>
            <scheme val="minor"/>
          </rPr>
          <t>Introducir un texto con el nombre o referencia de la contratación</t>
        </r>
      </text>
    </comment>
    <comment ref="B323" authorId="2" shapeId="0" xr:uid="{6CF87FA2-E6BA-4843-8287-CFCC848059EC}">
      <text>
        <r>
          <rPr>
            <sz val="11"/>
            <color theme="1"/>
            <rFont val="Calibri"/>
            <family val="2"/>
            <scheme val="minor"/>
          </rPr>
          <t>Introduzca un texto con la finalidad de la contratación</t>
        </r>
      </text>
    </comment>
    <comment ref="C323" authorId="2" shapeId="0" xr:uid="{76E92C9C-BD20-4030-A366-EA0372B6CFC4}">
      <text>
        <r>
          <rPr>
            <sz val="11"/>
            <color theme="1"/>
            <rFont val="Calibri"/>
            <family val="2"/>
            <scheme val="minor"/>
          </rPr>
          <t>Seleccionar un valor del listado</t>
        </r>
      </text>
    </comment>
    <comment ref="D323" authorId="2" shapeId="0" xr:uid="{8F0A0DA3-5473-4572-AB37-B4FE8F6A3C7A}">
      <text>
        <r>
          <rPr>
            <sz val="11"/>
            <color theme="1"/>
            <rFont val="Calibri"/>
            <family val="2"/>
            <scheme val="minor"/>
          </rPr>
          <t>Seleccione el tipo de procedimiento</t>
        </r>
      </text>
    </comment>
    <comment ref="E323" authorId="2" shapeId="0" xr:uid="{BA74DA3E-776C-42E5-BDB1-480C7D030B47}">
      <text>
        <r>
          <rPr>
            <sz val="11"/>
            <color theme="1"/>
            <rFont val="Calibri"/>
            <family val="2"/>
            <scheme val="minor"/>
          </rPr>
          <t>Seleccione un valor de la lista</t>
        </r>
      </text>
    </comment>
    <comment ref="F323" authorId="2" shapeId="0" xr:uid="{C8EB0A20-8C65-40DD-B1DC-1B8C07001825}">
      <text>
        <r>
          <rPr>
            <sz val="11"/>
            <color theme="1"/>
            <rFont val="Calibri"/>
            <family val="2"/>
            <scheme val="minor"/>
          </rPr>
          <t>Introduzca el código SNIP</t>
        </r>
      </text>
    </comment>
    <comment ref="C324" authorId="2" shapeId="0" xr:uid="{5B0EA50D-1A37-40F7-A525-E93B8747EFC6}">
      <text>
        <r>
          <rPr>
            <sz val="11"/>
            <color theme="1"/>
            <rFont val="Calibri"/>
            <family val="2"/>
            <scheme val="minor"/>
          </rPr>
          <t>Introduzca la fecha de inicio del proceso, en formato dd-mm-aaaa</t>
        </r>
      </text>
    </comment>
    <comment ref="F324" authorId="2" shapeId="0" xr:uid="{E98B3BAB-CB56-48D5-AE35-9F61704048C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5" authorId="2" shapeId="0" xr:uid="{A60F3489-69E0-46CF-AC27-474B64DA3D06}">
      <text/>
    </comment>
    <comment ref="C326" authorId="2" shapeId="0" xr:uid="{C26C35CE-4DD0-4FB1-AF18-DEF4A73D3DA0}">
      <text>
        <r>
          <rPr>
            <sz val="11"/>
            <color theme="1"/>
            <rFont val="Calibri"/>
            <family val="2"/>
            <scheme val="minor"/>
          </rPr>
          <t>Introduzca la fecha prevista de adjudicación, en formato dd-mm-aaaa</t>
        </r>
      </text>
    </comment>
    <comment ref="F326" authorId="2" shapeId="0" xr:uid="{DFE69BCC-A66A-4E4E-AB00-9BAF7F21E2CB}">
      <text/>
    </comment>
    <comment ref="F327" authorId="2" shapeId="0" xr:uid="{71DC0393-3399-4620-9669-F212E6C51F46}">
      <text/>
    </comment>
    <comment ref="A329" authorId="2" shapeId="0" xr:uid="{F3BED446-C572-4B14-9C90-711421A0A668}">
      <text>
        <r>
          <rPr>
            <sz val="11"/>
            <color theme="1"/>
            <rFont val="Calibri"/>
            <family val="2"/>
            <scheme val="minor"/>
          </rPr>
          <t>Introduzca un codigo UNSPSC</t>
        </r>
      </text>
    </comment>
    <comment ref="B329" authorId="2" shapeId="0" xr:uid="{2A240434-7C79-4558-886F-5A9028545540}">
      <text>
        <r>
          <rPr>
            <sz val="11"/>
            <color theme="1"/>
            <rFont val="Calibri"/>
            <family val="2"/>
            <scheme val="minor"/>
          </rPr>
          <t>Descripción calculada automáticamente a partir de código del artículo</t>
        </r>
      </text>
    </comment>
    <comment ref="C329" authorId="2" shapeId="0" xr:uid="{0F275B18-D616-45D7-ABA7-CBA2F8969443}">
      <text>
        <r>
          <rPr>
            <sz val="11"/>
            <color theme="1"/>
            <rFont val="Calibri"/>
            <family val="2"/>
            <scheme val="minor"/>
          </rPr>
          <t>Seleccione un valor de la lista</t>
        </r>
      </text>
    </comment>
    <comment ref="D329" authorId="2" shapeId="0" xr:uid="{6BC97E6E-E03B-4D79-AF42-60E3CD5D96D0}">
      <text>
        <r>
          <rPr>
            <sz val="11"/>
            <color theme="1"/>
            <rFont val="Calibri"/>
            <family val="2"/>
            <scheme val="minor"/>
          </rPr>
          <t>Introduzca un número con dos decimales como máximo. Debe ser igual o mayor a la "Cantidad Real Consumida"</t>
        </r>
      </text>
    </comment>
    <comment ref="E329" authorId="2" shapeId="0" xr:uid="{0F01E5AE-B965-4BE1-B766-1EDD20E0C037}">
      <text>
        <r>
          <rPr>
            <sz val="11"/>
            <color theme="1"/>
            <rFont val="Calibri"/>
            <family val="2"/>
            <scheme val="minor"/>
          </rPr>
          <t>Introduzca un número con dos decimales como máximo</t>
        </r>
      </text>
    </comment>
    <comment ref="F329" authorId="2" shapeId="0" xr:uid="{11A431DD-D691-4AAC-B976-22444B445809}">
      <text>
        <r>
          <rPr>
            <sz val="11"/>
            <color theme="1"/>
            <rFont val="Calibri"/>
            <family val="2"/>
            <scheme val="minor"/>
          </rPr>
          <t>Monto calculado automáticamente por el sistema</t>
        </r>
      </text>
    </comment>
    <comment ref="A334" authorId="2" shapeId="0" xr:uid="{0B9A9525-8CFE-4753-833F-68B35D412773}">
      <text>
        <r>
          <rPr>
            <sz val="11"/>
            <color theme="1"/>
            <rFont val="Calibri"/>
            <family val="2"/>
            <scheme val="minor"/>
          </rPr>
          <t>Introducir un texto con el nombre o referencia de la contratación</t>
        </r>
      </text>
    </comment>
    <comment ref="B334" authorId="2" shapeId="0" xr:uid="{D4488ADF-5F05-4270-9A69-E31EEAECA3B4}">
      <text>
        <r>
          <rPr>
            <sz val="11"/>
            <color theme="1"/>
            <rFont val="Calibri"/>
            <family val="2"/>
            <scheme val="minor"/>
          </rPr>
          <t>Introduzca un texto con la finalidad de la contratación</t>
        </r>
      </text>
    </comment>
    <comment ref="C334" authorId="2" shapeId="0" xr:uid="{03F695C5-3F86-4874-AEE3-0A52682AF1D1}">
      <text>
        <r>
          <rPr>
            <sz val="11"/>
            <color theme="1"/>
            <rFont val="Calibri"/>
            <family val="2"/>
            <scheme val="minor"/>
          </rPr>
          <t>Seleccionar un valor del listado</t>
        </r>
      </text>
    </comment>
    <comment ref="D334" authorId="2" shapeId="0" xr:uid="{AEB4227D-8C62-4FA4-B10A-6DE71F456668}">
      <text>
        <r>
          <rPr>
            <sz val="11"/>
            <color theme="1"/>
            <rFont val="Calibri"/>
            <family val="2"/>
            <scheme val="minor"/>
          </rPr>
          <t>Seleccione el tipo de procedimiento</t>
        </r>
      </text>
    </comment>
    <comment ref="E334" authorId="2" shapeId="0" xr:uid="{726BB2AB-F359-4C1B-B26F-BA9D357BF18E}">
      <text>
        <r>
          <rPr>
            <sz val="11"/>
            <color theme="1"/>
            <rFont val="Calibri"/>
            <family val="2"/>
            <scheme val="minor"/>
          </rPr>
          <t>Seleccione un valor de la lista</t>
        </r>
      </text>
    </comment>
    <comment ref="F334" authorId="2" shapeId="0" xr:uid="{66E12A32-3A28-4872-B41F-030B5D10D7EF}">
      <text>
        <r>
          <rPr>
            <sz val="11"/>
            <color theme="1"/>
            <rFont val="Calibri"/>
            <family val="2"/>
            <scheme val="minor"/>
          </rPr>
          <t>Introduzca el código SNIP</t>
        </r>
      </text>
    </comment>
    <comment ref="C335" authorId="2" shapeId="0" xr:uid="{503C0BB6-6F2F-43AF-82AB-FE29AECCFF61}">
      <text>
        <r>
          <rPr>
            <sz val="11"/>
            <color theme="1"/>
            <rFont val="Calibri"/>
            <family val="2"/>
            <scheme val="minor"/>
          </rPr>
          <t>Introduzca la fecha de inicio del proceso, en formato dd-mm-aaaa</t>
        </r>
      </text>
    </comment>
    <comment ref="F335" authorId="2" shapeId="0" xr:uid="{02C41678-E540-45DD-BAC3-E1259F17B26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2" shapeId="0" xr:uid="{3F3D24CF-88AC-4E3C-8957-BAEE3CE05AFF}">
      <text/>
    </comment>
    <comment ref="C337" authorId="2" shapeId="0" xr:uid="{5A683E38-F4E9-4604-B1E0-A1B81ACB87A0}">
      <text>
        <r>
          <rPr>
            <sz val="11"/>
            <color theme="1"/>
            <rFont val="Calibri"/>
            <family val="2"/>
            <scheme val="minor"/>
          </rPr>
          <t>Introduzca la fecha prevista de adjudicación, en formato dd-mm-aaaa</t>
        </r>
      </text>
    </comment>
    <comment ref="F337" authorId="2" shapeId="0" xr:uid="{D1EF2739-E930-46A6-885C-5A606BE46F54}">
      <text/>
    </comment>
    <comment ref="F338" authorId="2" shapeId="0" xr:uid="{3D8535AD-6F3B-42F2-B410-D6A5CC093F53}">
      <text/>
    </comment>
    <comment ref="A340" authorId="2" shapeId="0" xr:uid="{96D004C7-9008-4A37-B7FF-9C1FC0B79EF9}">
      <text>
        <r>
          <rPr>
            <sz val="11"/>
            <color theme="1"/>
            <rFont val="Calibri"/>
            <family val="2"/>
            <scheme val="minor"/>
          </rPr>
          <t>Introduzca un codigo UNSPSC</t>
        </r>
      </text>
    </comment>
    <comment ref="B340" authorId="2" shapeId="0" xr:uid="{4337E065-4094-4354-B931-C43C0130B3B9}">
      <text>
        <r>
          <rPr>
            <sz val="11"/>
            <color theme="1"/>
            <rFont val="Calibri"/>
            <family val="2"/>
            <scheme val="minor"/>
          </rPr>
          <t>Descripción calculada automáticamente a partir de código del artículo</t>
        </r>
      </text>
    </comment>
    <comment ref="C340" authorId="2" shapeId="0" xr:uid="{5DE8363B-398E-4795-A1D0-FF8FA639EE59}">
      <text>
        <r>
          <rPr>
            <sz val="11"/>
            <color theme="1"/>
            <rFont val="Calibri"/>
            <family val="2"/>
            <scheme val="minor"/>
          </rPr>
          <t>Seleccione un valor de la lista</t>
        </r>
      </text>
    </comment>
    <comment ref="D340" authorId="2" shapeId="0" xr:uid="{F10EBF78-D0A2-4B6D-A2D8-39A0D938C0C9}">
      <text>
        <r>
          <rPr>
            <sz val="11"/>
            <color theme="1"/>
            <rFont val="Calibri"/>
            <family val="2"/>
            <scheme val="minor"/>
          </rPr>
          <t>Introduzca un número con dos decimales como máximo. Debe ser igual o mayor a la "Cantidad Real Consumida"</t>
        </r>
      </text>
    </comment>
    <comment ref="E340" authorId="2" shapeId="0" xr:uid="{5B899AA2-D655-4681-B4B8-22863520AE39}">
      <text>
        <r>
          <rPr>
            <sz val="11"/>
            <color theme="1"/>
            <rFont val="Calibri"/>
            <family val="2"/>
            <scheme val="minor"/>
          </rPr>
          <t>Introduzca un número con dos decimales como máximo</t>
        </r>
      </text>
    </comment>
    <comment ref="F340" authorId="2" shapeId="0" xr:uid="{78F8F437-1253-4F15-BD47-24764BDBA14F}">
      <text>
        <r>
          <rPr>
            <sz val="11"/>
            <color theme="1"/>
            <rFont val="Calibri"/>
            <family val="2"/>
            <scheme val="minor"/>
          </rPr>
          <t>Monto calculado automáticamente por el sistema</t>
        </r>
      </text>
    </comment>
    <comment ref="A347" authorId="2" shapeId="0" xr:uid="{F60C8AA2-97A4-4CC8-8E3C-9460C398D4F4}">
      <text>
        <r>
          <rPr>
            <sz val="11"/>
            <color theme="1"/>
            <rFont val="Calibri"/>
            <family val="2"/>
            <scheme val="minor"/>
          </rPr>
          <t>Introducir un texto con el nombre o referencia de la contratación</t>
        </r>
      </text>
    </comment>
    <comment ref="B347" authorId="2" shapeId="0" xr:uid="{E4470BB4-4BE0-41D5-855C-FA88A064118F}">
      <text>
        <r>
          <rPr>
            <sz val="11"/>
            <color theme="1"/>
            <rFont val="Calibri"/>
            <family val="2"/>
            <scheme val="minor"/>
          </rPr>
          <t>Introduzca un texto con la finalidad de la contratación</t>
        </r>
      </text>
    </comment>
    <comment ref="C347" authorId="2" shapeId="0" xr:uid="{BD412FDB-1A66-40F5-A822-DF7C4C56E219}">
      <text>
        <r>
          <rPr>
            <sz val="11"/>
            <color theme="1"/>
            <rFont val="Calibri"/>
            <family val="2"/>
            <scheme val="minor"/>
          </rPr>
          <t>Seleccionar un valor del listado</t>
        </r>
      </text>
    </comment>
    <comment ref="D347" authorId="2" shapeId="0" xr:uid="{E6AD60CE-1673-4E84-8F34-5399B8FDFBA8}">
      <text>
        <r>
          <rPr>
            <sz val="11"/>
            <color theme="1"/>
            <rFont val="Calibri"/>
            <family val="2"/>
            <scheme val="minor"/>
          </rPr>
          <t>Seleccione el tipo de procedimiento</t>
        </r>
      </text>
    </comment>
    <comment ref="E347" authorId="2" shapeId="0" xr:uid="{7B0648F7-EFEB-4E0F-AFA7-D62D0701EC32}">
      <text>
        <r>
          <rPr>
            <sz val="11"/>
            <color theme="1"/>
            <rFont val="Calibri"/>
            <family val="2"/>
            <scheme val="minor"/>
          </rPr>
          <t>Seleccione un valor de la lista</t>
        </r>
      </text>
    </comment>
    <comment ref="F347" authorId="2" shapeId="0" xr:uid="{BD0A0611-E40A-4257-AA59-44347F1AF28D}">
      <text>
        <r>
          <rPr>
            <sz val="11"/>
            <color theme="1"/>
            <rFont val="Calibri"/>
            <family val="2"/>
            <scheme val="minor"/>
          </rPr>
          <t>Introduzca el código SNIP</t>
        </r>
      </text>
    </comment>
    <comment ref="C348" authorId="2" shapeId="0" xr:uid="{FA60E203-9CCC-43FA-B605-50B10DB3176D}">
      <text>
        <r>
          <rPr>
            <sz val="11"/>
            <color theme="1"/>
            <rFont val="Calibri"/>
            <family val="2"/>
            <scheme val="minor"/>
          </rPr>
          <t>Introduzca la fecha de inicio del proceso, en formato dd-mm-aaaa</t>
        </r>
      </text>
    </comment>
    <comment ref="F348" authorId="2" shapeId="0" xr:uid="{B2B59E3A-674A-47EE-B01D-1E1A74D2C25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2" shapeId="0" xr:uid="{2DEC264F-1FA3-4D60-87F1-D8B1DD7F0E17}">
      <text/>
    </comment>
    <comment ref="C350" authorId="2" shapeId="0" xr:uid="{86B80564-6DF5-4C37-8C6D-A552B2512422}">
      <text>
        <r>
          <rPr>
            <sz val="11"/>
            <color theme="1"/>
            <rFont val="Calibri"/>
            <family val="2"/>
            <scheme val="minor"/>
          </rPr>
          <t>Introduzca la fecha prevista de adjudicación, en formato dd-mm-aaaa</t>
        </r>
      </text>
    </comment>
    <comment ref="F350" authorId="2" shapeId="0" xr:uid="{ACD2ED9C-A4E6-4ABD-AB72-F2C27BD01BF3}">
      <text/>
    </comment>
    <comment ref="F351" authorId="2" shapeId="0" xr:uid="{C8ABA6AD-8EDF-465F-A89E-12BB03BC58C6}">
      <text/>
    </comment>
    <comment ref="A353" authorId="2" shapeId="0" xr:uid="{DE0A85E7-5F3A-429C-8BD8-EB78584B951F}">
      <text>
        <r>
          <rPr>
            <sz val="11"/>
            <color theme="1"/>
            <rFont val="Calibri"/>
            <family val="2"/>
            <scheme val="minor"/>
          </rPr>
          <t>Introduzca un codigo UNSPSC</t>
        </r>
      </text>
    </comment>
    <comment ref="B353" authorId="2" shapeId="0" xr:uid="{46610F38-2B32-400C-AC39-60AD7465D494}">
      <text>
        <r>
          <rPr>
            <sz val="11"/>
            <color theme="1"/>
            <rFont val="Calibri"/>
            <family val="2"/>
            <scheme val="minor"/>
          </rPr>
          <t>Descripción calculada automáticamente a partir de código del artículo</t>
        </r>
      </text>
    </comment>
    <comment ref="C353" authorId="2" shapeId="0" xr:uid="{1337E974-C5A9-4383-9868-DA9155A9801E}">
      <text>
        <r>
          <rPr>
            <sz val="11"/>
            <color theme="1"/>
            <rFont val="Calibri"/>
            <family val="2"/>
            <scheme val="minor"/>
          </rPr>
          <t>Seleccione un valor de la lista</t>
        </r>
      </text>
    </comment>
    <comment ref="D353" authorId="2" shapeId="0" xr:uid="{94860ECD-F396-4756-A5EB-C46AC8F713AA}">
      <text>
        <r>
          <rPr>
            <sz val="11"/>
            <color theme="1"/>
            <rFont val="Calibri"/>
            <family val="2"/>
            <scheme val="minor"/>
          </rPr>
          <t>Introduzca un número con dos decimales como máximo. Debe ser igual o mayor a la "Cantidad Real Consumida"</t>
        </r>
      </text>
    </comment>
    <comment ref="E353" authorId="2" shapeId="0" xr:uid="{CED59E59-3803-4FBF-AC3D-FDAB685DB994}">
      <text>
        <r>
          <rPr>
            <sz val="11"/>
            <color theme="1"/>
            <rFont val="Calibri"/>
            <family val="2"/>
            <scheme val="minor"/>
          </rPr>
          <t>Introduzca un número con dos decimales como máximo</t>
        </r>
      </text>
    </comment>
    <comment ref="F353" authorId="2" shapeId="0" xr:uid="{38683097-D11F-4A0B-9174-24A89F4B5BBA}">
      <text>
        <r>
          <rPr>
            <sz val="11"/>
            <color theme="1"/>
            <rFont val="Calibri"/>
            <family val="2"/>
            <scheme val="minor"/>
          </rPr>
          <t>Monto calculado automáticamente por el sistema</t>
        </r>
      </text>
    </comment>
    <comment ref="A358" authorId="2" shapeId="0" xr:uid="{AC889F82-E128-4D03-87AF-92BC5F83A11B}">
      <text>
        <r>
          <rPr>
            <sz val="11"/>
            <color theme="1"/>
            <rFont val="Calibri"/>
            <family val="2"/>
            <scheme val="minor"/>
          </rPr>
          <t>Introducir un texto con el nombre o referencia de la contratación</t>
        </r>
      </text>
    </comment>
    <comment ref="B358" authorId="2" shapeId="0" xr:uid="{98E764B1-684E-4397-B330-E5D384F3E6CA}">
      <text>
        <r>
          <rPr>
            <sz val="11"/>
            <color theme="1"/>
            <rFont val="Calibri"/>
            <family val="2"/>
            <scheme val="minor"/>
          </rPr>
          <t>Introduzca un texto con la finalidad de la contratación</t>
        </r>
      </text>
    </comment>
    <comment ref="C358" authorId="2" shapeId="0" xr:uid="{37D71C8A-3391-4534-9462-D85935009DEC}">
      <text>
        <r>
          <rPr>
            <sz val="11"/>
            <color theme="1"/>
            <rFont val="Calibri"/>
            <family val="2"/>
            <scheme val="minor"/>
          </rPr>
          <t>Seleccionar un valor del listado</t>
        </r>
      </text>
    </comment>
    <comment ref="D358" authorId="2" shapeId="0" xr:uid="{7EC21248-5F8E-49EB-84EB-51F30F7ED199}">
      <text>
        <r>
          <rPr>
            <sz val="11"/>
            <color theme="1"/>
            <rFont val="Calibri"/>
            <family val="2"/>
            <scheme val="minor"/>
          </rPr>
          <t>Seleccione el tipo de procedimiento</t>
        </r>
      </text>
    </comment>
    <comment ref="E358" authorId="2" shapeId="0" xr:uid="{3408E89F-9797-42FA-BC47-1E629F55D49F}">
      <text>
        <r>
          <rPr>
            <sz val="11"/>
            <color theme="1"/>
            <rFont val="Calibri"/>
            <family val="2"/>
            <scheme val="minor"/>
          </rPr>
          <t>Seleccione un valor de la lista</t>
        </r>
      </text>
    </comment>
    <comment ref="F358" authorId="2" shapeId="0" xr:uid="{978E12FB-75C1-4693-9EBC-C24B34808EC4}">
      <text>
        <r>
          <rPr>
            <sz val="11"/>
            <color theme="1"/>
            <rFont val="Calibri"/>
            <family val="2"/>
            <scheme val="minor"/>
          </rPr>
          <t>Introduzca el código SNIP</t>
        </r>
      </text>
    </comment>
    <comment ref="C359" authorId="2" shapeId="0" xr:uid="{9AB7AE7F-691E-4FB3-8191-3EACCCEDA268}">
      <text>
        <r>
          <rPr>
            <sz val="11"/>
            <color theme="1"/>
            <rFont val="Calibri"/>
            <family val="2"/>
            <scheme val="minor"/>
          </rPr>
          <t>Introduzca la fecha de inicio del proceso, en formato dd-mm-aaaa</t>
        </r>
      </text>
    </comment>
    <comment ref="F359" authorId="2" shapeId="0" xr:uid="{F80169BA-35D0-4A6D-840B-71BE285E2C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2" shapeId="0" xr:uid="{851142DF-F31F-4E44-BEF7-292690D10A1F}">
      <text/>
    </comment>
    <comment ref="C361" authorId="2" shapeId="0" xr:uid="{7043C6D5-4E44-4F70-8C97-32A1AEFEF4EE}">
      <text>
        <r>
          <rPr>
            <sz val="11"/>
            <color theme="1"/>
            <rFont val="Calibri"/>
            <family val="2"/>
            <scheme val="minor"/>
          </rPr>
          <t>Introduzca la fecha prevista de adjudicación, en formato dd-mm-aaaa</t>
        </r>
      </text>
    </comment>
    <comment ref="F361" authorId="2" shapeId="0" xr:uid="{00C297E1-CEFB-424C-9D9C-9094533CAD5E}">
      <text/>
    </comment>
    <comment ref="F362" authorId="2" shapeId="0" xr:uid="{0D170AF7-7119-4FF0-95B1-437C27985434}">
      <text/>
    </comment>
    <comment ref="A364" authorId="2" shapeId="0" xr:uid="{75BBC67E-18A0-45E8-A1E0-20521140ACB8}">
      <text>
        <r>
          <rPr>
            <sz val="11"/>
            <color theme="1"/>
            <rFont val="Calibri"/>
            <family val="2"/>
            <scheme val="minor"/>
          </rPr>
          <t>Introduzca un codigo UNSPSC</t>
        </r>
      </text>
    </comment>
    <comment ref="B364" authorId="2" shapeId="0" xr:uid="{76B4CDE9-1D4D-482F-84CF-9BDD9A10C539}">
      <text>
        <r>
          <rPr>
            <sz val="11"/>
            <color theme="1"/>
            <rFont val="Calibri"/>
            <family val="2"/>
            <scheme val="minor"/>
          </rPr>
          <t>Descripción calculada automáticamente a partir de código del artículo</t>
        </r>
      </text>
    </comment>
    <comment ref="C364" authorId="2" shapeId="0" xr:uid="{AC350DAA-5704-4BDC-8554-DFE9D6FF81F2}">
      <text>
        <r>
          <rPr>
            <sz val="11"/>
            <color theme="1"/>
            <rFont val="Calibri"/>
            <family val="2"/>
            <scheme val="minor"/>
          </rPr>
          <t>Seleccione un valor de la lista</t>
        </r>
      </text>
    </comment>
    <comment ref="D364" authorId="2" shapeId="0" xr:uid="{13AA0182-3485-4A6E-86DA-2FA0F87B571A}">
      <text>
        <r>
          <rPr>
            <sz val="11"/>
            <color theme="1"/>
            <rFont val="Calibri"/>
            <family val="2"/>
            <scheme val="minor"/>
          </rPr>
          <t>Introduzca un número con dos decimales como máximo. Debe ser igual o mayor a la "Cantidad Real Consumida"</t>
        </r>
      </text>
    </comment>
    <comment ref="E364" authorId="2" shapeId="0" xr:uid="{DE16D13D-AA8B-4F84-93FC-63DC023E05FA}">
      <text>
        <r>
          <rPr>
            <sz val="11"/>
            <color theme="1"/>
            <rFont val="Calibri"/>
            <family val="2"/>
            <scheme val="minor"/>
          </rPr>
          <t>Introduzca un número con dos decimales como máximo</t>
        </r>
      </text>
    </comment>
    <comment ref="F364" authorId="2" shapeId="0" xr:uid="{4AAC83A1-D6C3-433A-9F01-4C8525563514}">
      <text>
        <r>
          <rPr>
            <sz val="11"/>
            <color theme="1"/>
            <rFont val="Calibri"/>
            <family val="2"/>
            <scheme val="minor"/>
          </rPr>
          <t>Monto calculado automáticamente por el sistema</t>
        </r>
      </text>
    </comment>
    <comment ref="A369" authorId="2" shapeId="0" xr:uid="{FE51A8F1-3515-4A18-B180-AA04698CCAFB}">
      <text>
        <r>
          <rPr>
            <sz val="11"/>
            <color theme="1"/>
            <rFont val="Calibri"/>
            <family val="2"/>
            <scheme val="minor"/>
          </rPr>
          <t>Introducir un texto con el nombre o referencia de la contratación</t>
        </r>
      </text>
    </comment>
    <comment ref="B369" authorId="2" shapeId="0" xr:uid="{0DECE255-1407-47E7-83C9-129B0F2E4B8D}">
      <text>
        <r>
          <rPr>
            <sz val="11"/>
            <color theme="1"/>
            <rFont val="Calibri"/>
            <family val="2"/>
            <scheme val="minor"/>
          </rPr>
          <t>Introduzca un texto con la finalidad de la contratación</t>
        </r>
      </text>
    </comment>
    <comment ref="C369" authorId="2" shapeId="0" xr:uid="{926A9D1C-5FDB-4B67-B3EC-A7192EA36B3F}">
      <text>
        <r>
          <rPr>
            <sz val="11"/>
            <color theme="1"/>
            <rFont val="Calibri"/>
            <family val="2"/>
            <scheme val="minor"/>
          </rPr>
          <t>Seleccionar un valor del listado</t>
        </r>
      </text>
    </comment>
    <comment ref="D369" authorId="2" shapeId="0" xr:uid="{0A16991E-4C66-4834-B235-C60CA67C4967}">
      <text>
        <r>
          <rPr>
            <sz val="11"/>
            <color theme="1"/>
            <rFont val="Calibri"/>
            <family val="2"/>
            <scheme val="minor"/>
          </rPr>
          <t>Seleccione el tipo de procedimiento</t>
        </r>
      </text>
    </comment>
    <comment ref="E369" authorId="2" shapeId="0" xr:uid="{3D824304-B63E-4013-9FC9-6799D44195B4}">
      <text>
        <r>
          <rPr>
            <sz val="11"/>
            <color theme="1"/>
            <rFont val="Calibri"/>
            <family val="2"/>
            <scheme val="minor"/>
          </rPr>
          <t>Seleccione un valor de la lista</t>
        </r>
      </text>
    </comment>
    <comment ref="F369" authorId="2" shapeId="0" xr:uid="{0F400662-B539-41CA-AAC5-167159BE1154}">
      <text>
        <r>
          <rPr>
            <sz val="11"/>
            <color theme="1"/>
            <rFont val="Calibri"/>
            <family val="2"/>
            <scheme val="minor"/>
          </rPr>
          <t>Introduzca el código SNIP</t>
        </r>
      </text>
    </comment>
    <comment ref="C370" authorId="2" shapeId="0" xr:uid="{0C5FDBA9-A7F9-4E64-A4C2-53DB0F81F9FF}">
      <text>
        <r>
          <rPr>
            <sz val="11"/>
            <color theme="1"/>
            <rFont val="Calibri"/>
            <family val="2"/>
            <scheme val="minor"/>
          </rPr>
          <t>Introduzca la fecha de inicio del proceso, en formato dd-mm-aaaa</t>
        </r>
      </text>
    </comment>
    <comment ref="F370" authorId="2" shapeId="0" xr:uid="{563227A5-83DF-4A3A-ACBE-0631027A3C5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2" shapeId="0" xr:uid="{CAE58E67-B559-41AB-A397-76B1D2FFF29C}">
      <text/>
    </comment>
    <comment ref="C372" authorId="2" shapeId="0" xr:uid="{1EFE4E6A-EB26-41B3-9D72-ABC5D199B29E}">
      <text>
        <r>
          <rPr>
            <sz val="11"/>
            <color theme="1"/>
            <rFont val="Calibri"/>
            <family val="2"/>
            <scheme val="minor"/>
          </rPr>
          <t>Introduzca la fecha prevista de adjudicación, en formato dd-mm-aaaa</t>
        </r>
      </text>
    </comment>
    <comment ref="F372" authorId="2" shapeId="0" xr:uid="{8099D7B3-5A91-44E4-BE5B-8516101CC5E6}">
      <text/>
    </comment>
    <comment ref="F373" authorId="2" shapeId="0" xr:uid="{26ACB747-4EAD-49C5-8493-C002606041EF}">
      <text/>
    </comment>
    <comment ref="A375" authorId="2" shapeId="0" xr:uid="{E6E66DCD-74FC-49B0-941F-5AEAD29692E7}">
      <text>
        <r>
          <rPr>
            <sz val="11"/>
            <color theme="1"/>
            <rFont val="Calibri"/>
            <family val="2"/>
            <scheme val="minor"/>
          </rPr>
          <t>Introduzca un codigo UNSPSC</t>
        </r>
      </text>
    </comment>
    <comment ref="B375" authorId="2" shapeId="0" xr:uid="{B75F7290-4AE6-49F7-AA98-D9E787555E50}">
      <text>
        <r>
          <rPr>
            <sz val="11"/>
            <color theme="1"/>
            <rFont val="Calibri"/>
            <family val="2"/>
            <scheme val="minor"/>
          </rPr>
          <t>Descripción calculada automáticamente a partir de código del artículo</t>
        </r>
      </text>
    </comment>
    <comment ref="C375" authorId="2" shapeId="0" xr:uid="{7F805F82-827C-4443-99BE-CA964107CE8A}">
      <text>
        <r>
          <rPr>
            <sz val="11"/>
            <color theme="1"/>
            <rFont val="Calibri"/>
            <family val="2"/>
            <scheme val="minor"/>
          </rPr>
          <t>Seleccione un valor de la lista</t>
        </r>
      </text>
    </comment>
    <comment ref="D375" authorId="2" shapeId="0" xr:uid="{6857D985-5D8D-4A75-BC16-229B4708CDFF}">
      <text>
        <r>
          <rPr>
            <sz val="11"/>
            <color theme="1"/>
            <rFont val="Calibri"/>
            <family val="2"/>
            <scheme val="minor"/>
          </rPr>
          <t>Introduzca un número con dos decimales como máximo. Debe ser igual o mayor a la "Cantidad Real Consumida"</t>
        </r>
      </text>
    </comment>
    <comment ref="E375" authorId="2" shapeId="0" xr:uid="{66A962EA-9594-4F9D-8D59-F21BCCC969D5}">
      <text>
        <r>
          <rPr>
            <sz val="11"/>
            <color theme="1"/>
            <rFont val="Calibri"/>
            <family val="2"/>
            <scheme val="minor"/>
          </rPr>
          <t>Introduzca un número con dos decimales como máximo</t>
        </r>
      </text>
    </comment>
    <comment ref="F375" authorId="2" shapeId="0" xr:uid="{9BACFB12-C6BC-4F80-9146-ECBFC0475F2A}">
      <text>
        <r>
          <rPr>
            <sz val="11"/>
            <color theme="1"/>
            <rFont val="Calibri"/>
            <family val="2"/>
            <scheme val="minor"/>
          </rPr>
          <t>Monto calculado automáticamente por el sistema</t>
        </r>
      </text>
    </comment>
    <comment ref="A380" authorId="2" shapeId="0" xr:uid="{72E5C56E-C47C-4AB7-A970-1F5F4B6B7E04}">
      <text>
        <r>
          <rPr>
            <sz val="11"/>
            <color theme="1"/>
            <rFont val="Calibri"/>
            <family val="2"/>
            <scheme val="minor"/>
          </rPr>
          <t>Introducir un texto con el nombre o referencia de la contratación</t>
        </r>
      </text>
    </comment>
    <comment ref="B380" authorId="2" shapeId="0" xr:uid="{3E570E7E-C796-4541-90B7-7CEBB09C5B1E}">
      <text>
        <r>
          <rPr>
            <sz val="11"/>
            <color theme="1"/>
            <rFont val="Calibri"/>
            <family val="2"/>
            <scheme val="minor"/>
          </rPr>
          <t>Introduzca un texto con la finalidad de la contratación</t>
        </r>
      </text>
    </comment>
    <comment ref="C380" authorId="2" shapeId="0" xr:uid="{3D72EFF4-00E5-4725-B4BD-9CD78A1C4F4A}">
      <text>
        <r>
          <rPr>
            <sz val="11"/>
            <color theme="1"/>
            <rFont val="Calibri"/>
            <family val="2"/>
            <scheme val="minor"/>
          </rPr>
          <t>Seleccionar un valor del listado</t>
        </r>
      </text>
    </comment>
    <comment ref="D380" authorId="2" shapeId="0" xr:uid="{4388241E-4C0D-4E3E-934C-ED3FDC604CDC}">
      <text>
        <r>
          <rPr>
            <sz val="11"/>
            <color theme="1"/>
            <rFont val="Calibri"/>
            <family val="2"/>
            <scheme val="minor"/>
          </rPr>
          <t>Seleccione el tipo de procedimiento</t>
        </r>
      </text>
    </comment>
    <comment ref="E380" authorId="2" shapeId="0" xr:uid="{049F9C28-5848-495C-8B65-5DF4F979976A}">
      <text>
        <r>
          <rPr>
            <sz val="11"/>
            <color theme="1"/>
            <rFont val="Calibri"/>
            <family val="2"/>
            <scheme val="minor"/>
          </rPr>
          <t>Seleccione un valor de la lista</t>
        </r>
      </text>
    </comment>
    <comment ref="F380" authorId="2" shapeId="0" xr:uid="{3D6BE97E-0655-44DA-BD7F-19E9F743165E}">
      <text>
        <r>
          <rPr>
            <sz val="11"/>
            <color theme="1"/>
            <rFont val="Calibri"/>
            <family val="2"/>
            <scheme val="minor"/>
          </rPr>
          <t>Introduzca el código SNIP</t>
        </r>
      </text>
    </comment>
    <comment ref="C381" authorId="2" shapeId="0" xr:uid="{64DDAE7B-5EDA-4E3E-B02E-4574EB75EFFC}">
      <text>
        <r>
          <rPr>
            <sz val="11"/>
            <color theme="1"/>
            <rFont val="Calibri"/>
            <family val="2"/>
            <scheme val="minor"/>
          </rPr>
          <t>Introduzca la fecha de inicio del proceso, en formato dd-mm-aaaa</t>
        </r>
      </text>
    </comment>
    <comment ref="F381" authorId="2" shapeId="0" xr:uid="{57E40CD4-44AE-46FE-9B70-E5907DD886C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2" shapeId="0" xr:uid="{8C4AE1D7-4898-4141-99D7-E630289926B4}">
      <text/>
    </comment>
    <comment ref="C383" authorId="2" shapeId="0" xr:uid="{8BE6D267-4EDE-4383-A1E4-332DC621E2BC}">
      <text>
        <r>
          <rPr>
            <sz val="11"/>
            <color theme="1"/>
            <rFont val="Calibri"/>
            <family val="2"/>
            <scheme val="minor"/>
          </rPr>
          <t>Introduzca la fecha prevista de adjudicación, en formato dd-mm-aaaa</t>
        </r>
      </text>
    </comment>
    <comment ref="F383" authorId="2" shapeId="0" xr:uid="{2D5D539D-ABE7-405F-B84B-9AF2A6741734}">
      <text/>
    </comment>
    <comment ref="F384" authorId="2" shapeId="0" xr:uid="{3B481350-5646-4EF6-BEF5-89F82229FC51}">
      <text/>
    </comment>
    <comment ref="A386" authorId="2" shapeId="0" xr:uid="{F25D12A4-DC39-4190-987B-D74601678C99}">
      <text>
        <r>
          <rPr>
            <sz val="11"/>
            <color theme="1"/>
            <rFont val="Calibri"/>
            <family val="2"/>
            <scheme val="minor"/>
          </rPr>
          <t>Introduzca un codigo UNSPSC</t>
        </r>
      </text>
    </comment>
    <comment ref="B386" authorId="2" shapeId="0" xr:uid="{7758C554-3FE8-4EC2-BF21-78AE522B192E}">
      <text>
        <r>
          <rPr>
            <sz val="11"/>
            <color theme="1"/>
            <rFont val="Calibri"/>
            <family val="2"/>
            <scheme val="minor"/>
          </rPr>
          <t>Descripción calculada automáticamente a partir de código del artículo</t>
        </r>
      </text>
    </comment>
    <comment ref="C386" authorId="2" shapeId="0" xr:uid="{642EF7A8-5021-4F01-A216-8B39FFA65DBC}">
      <text>
        <r>
          <rPr>
            <sz val="11"/>
            <color theme="1"/>
            <rFont val="Calibri"/>
            <family val="2"/>
            <scheme val="minor"/>
          </rPr>
          <t>Seleccione un valor de la lista</t>
        </r>
      </text>
    </comment>
    <comment ref="D386" authorId="2" shapeId="0" xr:uid="{2BCEA6A8-893C-4E18-8722-457973BFF600}">
      <text>
        <r>
          <rPr>
            <sz val="11"/>
            <color theme="1"/>
            <rFont val="Calibri"/>
            <family val="2"/>
            <scheme val="minor"/>
          </rPr>
          <t>Introduzca un número con dos decimales como máximo. Debe ser igual o mayor a la "Cantidad Real Consumida"</t>
        </r>
      </text>
    </comment>
    <comment ref="E386" authorId="2" shapeId="0" xr:uid="{211919F2-6C6E-4B68-BE94-973809A5813F}">
      <text>
        <r>
          <rPr>
            <sz val="11"/>
            <color theme="1"/>
            <rFont val="Calibri"/>
            <family val="2"/>
            <scheme val="minor"/>
          </rPr>
          <t>Introduzca un número con dos decimales como máximo</t>
        </r>
      </text>
    </comment>
    <comment ref="F386" authorId="2" shapeId="0" xr:uid="{AE3BEB34-B154-4F8B-BF6D-3DC7CDF2911A}">
      <text>
        <r>
          <rPr>
            <sz val="11"/>
            <color theme="1"/>
            <rFont val="Calibri"/>
            <family val="2"/>
            <scheme val="minor"/>
          </rPr>
          <t>Monto calculado automáticamente por el sistema</t>
        </r>
      </text>
    </comment>
    <comment ref="A391" authorId="2" shapeId="0" xr:uid="{F15770CE-7427-4600-B6EB-FEAB16694CA3}">
      <text>
        <r>
          <rPr>
            <sz val="11"/>
            <color theme="1"/>
            <rFont val="Calibri"/>
            <family val="2"/>
            <scheme val="minor"/>
          </rPr>
          <t>Introducir un texto con el nombre o referencia de la contratación</t>
        </r>
      </text>
    </comment>
    <comment ref="B391" authorId="2" shapeId="0" xr:uid="{FB4EC0D0-9577-4358-8FB1-17A4C3A1B4E8}">
      <text>
        <r>
          <rPr>
            <sz val="11"/>
            <color theme="1"/>
            <rFont val="Calibri"/>
            <family val="2"/>
            <scheme val="minor"/>
          </rPr>
          <t>Introduzca un texto con la finalidad de la contratación</t>
        </r>
      </text>
    </comment>
    <comment ref="C391" authorId="2" shapeId="0" xr:uid="{5F6FC86F-CDD9-4720-8B32-A2B47EC4A1D0}">
      <text>
        <r>
          <rPr>
            <sz val="11"/>
            <color theme="1"/>
            <rFont val="Calibri"/>
            <family val="2"/>
            <scheme val="minor"/>
          </rPr>
          <t>Seleccionar un valor del listado</t>
        </r>
      </text>
    </comment>
    <comment ref="D391" authorId="2" shapeId="0" xr:uid="{F3CA5008-1357-4878-83A5-7F8846ED71D6}">
      <text>
        <r>
          <rPr>
            <sz val="11"/>
            <color theme="1"/>
            <rFont val="Calibri"/>
            <family val="2"/>
            <scheme val="minor"/>
          </rPr>
          <t>Seleccione el tipo de procedimiento</t>
        </r>
      </text>
    </comment>
    <comment ref="E391" authorId="2" shapeId="0" xr:uid="{97810545-814A-4731-88AD-B9A73427495B}">
      <text>
        <r>
          <rPr>
            <sz val="11"/>
            <color theme="1"/>
            <rFont val="Calibri"/>
            <family val="2"/>
            <scheme val="minor"/>
          </rPr>
          <t>Seleccione un valor de la lista</t>
        </r>
      </text>
    </comment>
    <comment ref="F391" authorId="2" shapeId="0" xr:uid="{287884A7-5AA6-4FE7-9B87-C81672DA2318}">
      <text>
        <r>
          <rPr>
            <sz val="11"/>
            <color theme="1"/>
            <rFont val="Calibri"/>
            <family val="2"/>
            <scheme val="minor"/>
          </rPr>
          <t>Introduzca el código SNIP</t>
        </r>
      </text>
    </comment>
    <comment ref="C392" authorId="2" shapeId="0" xr:uid="{26CC5A8E-C034-49DE-84DF-BD514DF2B986}">
      <text>
        <r>
          <rPr>
            <sz val="11"/>
            <color theme="1"/>
            <rFont val="Calibri"/>
            <family val="2"/>
            <scheme val="minor"/>
          </rPr>
          <t>Introduzca la fecha de inicio del proceso, en formato dd-mm-aaaa</t>
        </r>
      </text>
    </comment>
    <comment ref="F392" authorId="2" shapeId="0" xr:uid="{5E589BE4-0E9B-448A-BC24-A9D3C2D860F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2" shapeId="0" xr:uid="{D09A8104-6619-42C0-B780-005FE0D6E75D}">
      <text/>
    </comment>
    <comment ref="C394" authorId="2" shapeId="0" xr:uid="{5CB70844-B818-472E-85A0-232C64607814}">
      <text>
        <r>
          <rPr>
            <sz val="11"/>
            <color theme="1"/>
            <rFont val="Calibri"/>
            <family val="2"/>
            <scheme val="minor"/>
          </rPr>
          <t>Introduzca la fecha prevista de adjudicación, en formato dd-mm-aaaa</t>
        </r>
      </text>
    </comment>
    <comment ref="F394" authorId="2" shapeId="0" xr:uid="{2C5157E7-E862-4A3F-81A9-229FFAABFA7C}">
      <text/>
    </comment>
    <comment ref="F395" authorId="2" shapeId="0" xr:uid="{8D6208C0-BC81-46DD-B183-6B173B7AF7DE}">
      <text/>
    </comment>
    <comment ref="A397" authorId="2" shapeId="0" xr:uid="{77BA7D9D-687B-411E-AD69-C7EE7A740654}">
      <text>
        <r>
          <rPr>
            <sz val="11"/>
            <color theme="1"/>
            <rFont val="Calibri"/>
            <family val="2"/>
            <scheme val="minor"/>
          </rPr>
          <t>Introduzca un codigo UNSPSC</t>
        </r>
      </text>
    </comment>
    <comment ref="B397" authorId="2" shapeId="0" xr:uid="{74E62463-6D55-4A35-9AF8-BC387AE727C5}">
      <text>
        <r>
          <rPr>
            <sz val="11"/>
            <color theme="1"/>
            <rFont val="Calibri"/>
            <family val="2"/>
            <scheme val="minor"/>
          </rPr>
          <t>Descripción calculada automáticamente a partir de código del artículo</t>
        </r>
      </text>
    </comment>
    <comment ref="C397" authorId="2" shapeId="0" xr:uid="{3EB1A2B2-F08F-4836-8B0F-F65860DB865A}">
      <text>
        <r>
          <rPr>
            <sz val="11"/>
            <color theme="1"/>
            <rFont val="Calibri"/>
            <family val="2"/>
            <scheme val="minor"/>
          </rPr>
          <t>Seleccione un valor de la lista</t>
        </r>
      </text>
    </comment>
    <comment ref="D397" authorId="2" shapeId="0" xr:uid="{1FD71A0E-EF3B-4428-80FC-EFC01CCD1C08}">
      <text>
        <r>
          <rPr>
            <sz val="11"/>
            <color theme="1"/>
            <rFont val="Calibri"/>
            <family val="2"/>
            <scheme val="minor"/>
          </rPr>
          <t>Introduzca un número con dos decimales como máximo. Debe ser igual o mayor a la "Cantidad Real Consumida"</t>
        </r>
      </text>
    </comment>
    <comment ref="E397" authorId="2" shapeId="0" xr:uid="{748B4EE4-DA01-4F83-A27E-CC8091A3F6F2}">
      <text>
        <r>
          <rPr>
            <sz val="11"/>
            <color theme="1"/>
            <rFont val="Calibri"/>
            <family val="2"/>
            <scheme val="minor"/>
          </rPr>
          <t>Introduzca un número con dos decimales como máximo</t>
        </r>
      </text>
    </comment>
    <comment ref="F397" authorId="2" shapeId="0" xr:uid="{B19C3011-6B35-4790-9EF1-8E6ECCC1C79A}">
      <text>
        <r>
          <rPr>
            <sz val="11"/>
            <color theme="1"/>
            <rFont val="Calibri"/>
            <family val="2"/>
            <scheme val="minor"/>
          </rPr>
          <t>Monto calculado automáticamente por el sistema</t>
        </r>
      </text>
    </comment>
    <comment ref="A402" authorId="2" shapeId="0" xr:uid="{58D24487-60BB-459C-A4F2-42A61462C592}">
      <text>
        <r>
          <rPr>
            <sz val="11"/>
            <color theme="1"/>
            <rFont val="Calibri"/>
            <family val="2"/>
            <scheme val="minor"/>
          </rPr>
          <t>Introducir un texto con el nombre o referencia de la contratación</t>
        </r>
      </text>
    </comment>
    <comment ref="B402" authorId="2" shapeId="0" xr:uid="{3FB15671-0FAE-4E60-9870-63CB887ADED4}">
      <text>
        <r>
          <rPr>
            <sz val="11"/>
            <color theme="1"/>
            <rFont val="Calibri"/>
            <family val="2"/>
            <scheme val="minor"/>
          </rPr>
          <t>Introduzca un texto con la finalidad de la contratación</t>
        </r>
      </text>
    </comment>
    <comment ref="C402" authorId="2" shapeId="0" xr:uid="{059845DF-B110-4773-9DA5-F4B3E27FD5C6}">
      <text>
        <r>
          <rPr>
            <sz val="11"/>
            <color theme="1"/>
            <rFont val="Calibri"/>
            <family val="2"/>
            <scheme val="minor"/>
          </rPr>
          <t>Seleccionar un valor del listado</t>
        </r>
      </text>
    </comment>
    <comment ref="D402" authorId="2" shapeId="0" xr:uid="{3A61B544-4BAB-41A0-8719-951F0ECC1CA4}">
      <text>
        <r>
          <rPr>
            <sz val="11"/>
            <color theme="1"/>
            <rFont val="Calibri"/>
            <family val="2"/>
            <scheme val="minor"/>
          </rPr>
          <t>Seleccione el tipo de procedimiento</t>
        </r>
      </text>
    </comment>
    <comment ref="E402" authorId="2" shapeId="0" xr:uid="{490D4DCE-A01B-4FD1-8BC6-5CE59D482BF0}">
      <text>
        <r>
          <rPr>
            <sz val="11"/>
            <color theme="1"/>
            <rFont val="Calibri"/>
            <family val="2"/>
            <scheme val="minor"/>
          </rPr>
          <t>Seleccione un valor de la lista</t>
        </r>
      </text>
    </comment>
    <comment ref="F402" authorId="2" shapeId="0" xr:uid="{CE24A3E6-3EBA-4276-B261-B3E10CCFB82E}">
      <text>
        <r>
          <rPr>
            <sz val="11"/>
            <color theme="1"/>
            <rFont val="Calibri"/>
            <family val="2"/>
            <scheme val="minor"/>
          </rPr>
          <t>Introduzca el código SNIP</t>
        </r>
      </text>
    </comment>
    <comment ref="C403" authorId="2" shapeId="0" xr:uid="{AA46FF47-1293-42DD-A0DB-4B0548B2330A}">
      <text>
        <r>
          <rPr>
            <sz val="11"/>
            <color theme="1"/>
            <rFont val="Calibri"/>
            <family val="2"/>
            <scheme val="minor"/>
          </rPr>
          <t>Introduzca la fecha de inicio del proceso, en formato dd-mm-aaaa</t>
        </r>
      </text>
    </comment>
    <comment ref="F403" authorId="2" shapeId="0" xr:uid="{D178F167-0533-45CE-B2DF-CA34235486D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4" authorId="2" shapeId="0" xr:uid="{9BF5209F-4F0A-4555-B42C-7B01D774670A}">
      <text/>
    </comment>
    <comment ref="C405" authorId="2" shapeId="0" xr:uid="{B0B956E6-646A-4171-BE9C-D99664AD6A46}">
      <text>
        <r>
          <rPr>
            <sz val="11"/>
            <color theme="1"/>
            <rFont val="Calibri"/>
            <family val="2"/>
            <scheme val="minor"/>
          </rPr>
          <t>Introduzca la fecha prevista de adjudicación, en formato dd-mm-aaaa</t>
        </r>
      </text>
    </comment>
    <comment ref="F405" authorId="2" shapeId="0" xr:uid="{45FB3776-8748-4EFC-A66E-9C19B1A750D3}">
      <text/>
    </comment>
    <comment ref="F406" authorId="2" shapeId="0" xr:uid="{9CA990DF-3226-49A6-A385-BEE3ADA0FCDB}">
      <text/>
    </comment>
    <comment ref="A408" authorId="2" shapeId="0" xr:uid="{9A21BE7D-92FA-490C-AD4C-9E361C5DB5B8}">
      <text>
        <r>
          <rPr>
            <sz val="11"/>
            <color theme="1"/>
            <rFont val="Calibri"/>
            <family val="2"/>
            <scheme val="minor"/>
          </rPr>
          <t>Introduzca un codigo UNSPSC</t>
        </r>
      </text>
    </comment>
    <comment ref="B408" authorId="2" shapeId="0" xr:uid="{E77E0E53-337E-40D8-B4BF-830B18413C61}">
      <text>
        <r>
          <rPr>
            <sz val="11"/>
            <color theme="1"/>
            <rFont val="Calibri"/>
            <family val="2"/>
            <scheme val="minor"/>
          </rPr>
          <t>Descripción calculada automáticamente a partir de código del artículo</t>
        </r>
      </text>
    </comment>
    <comment ref="C408" authorId="2" shapeId="0" xr:uid="{C4D22189-D71C-4D52-BBEC-F60BF643D7B7}">
      <text>
        <r>
          <rPr>
            <sz val="11"/>
            <color theme="1"/>
            <rFont val="Calibri"/>
            <family val="2"/>
            <scheme val="minor"/>
          </rPr>
          <t>Seleccione un valor de la lista</t>
        </r>
      </text>
    </comment>
    <comment ref="D408" authorId="2" shapeId="0" xr:uid="{D8B58202-24FB-493C-AA2D-CCEC2A97ACFA}">
      <text>
        <r>
          <rPr>
            <sz val="11"/>
            <color theme="1"/>
            <rFont val="Calibri"/>
            <family val="2"/>
            <scheme val="minor"/>
          </rPr>
          <t>Introduzca un número con dos decimales como máximo. Debe ser igual o mayor a la "Cantidad Real Consumida"</t>
        </r>
      </text>
    </comment>
    <comment ref="E408" authorId="2" shapeId="0" xr:uid="{4343AC90-1325-4286-9D01-DE6A870CDA32}">
      <text>
        <r>
          <rPr>
            <sz val="11"/>
            <color theme="1"/>
            <rFont val="Calibri"/>
            <family val="2"/>
            <scheme val="minor"/>
          </rPr>
          <t>Introduzca un número con dos decimales como máximo</t>
        </r>
      </text>
    </comment>
    <comment ref="F408" authorId="2" shapeId="0" xr:uid="{9F3FAC9D-AEEF-48A9-A417-8AA30BC5985B}">
      <text>
        <r>
          <rPr>
            <sz val="11"/>
            <color theme="1"/>
            <rFont val="Calibri"/>
            <family val="2"/>
            <scheme val="minor"/>
          </rPr>
          <t>Monto calculado automáticamente por el sistema</t>
        </r>
      </text>
    </comment>
    <comment ref="A413" authorId="2" shapeId="0" xr:uid="{16D03850-29F6-4324-A8DA-77FA389330B6}">
      <text>
        <r>
          <rPr>
            <sz val="11"/>
            <color theme="1"/>
            <rFont val="Calibri"/>
            <family val="2"/>
            <scheme val="minor"/>
          </rPr>
          <t>Introducir un texto con el nombre o referencia de la contratación</t>
        </r>
      </text>
    </comment>
    <comment ref="B413" authorId="2" shapeId="0" xr:uid="{C14B5F89-667E-4857-872E-E90711E3E494}">
      <text>
        <r>
          <rPr>
            <sz val="11"/>
            <color theme="1"/>
            <rFont val="Calibri"/>
            <family val="2"/>
            <scheme val="minor"/>
          </rPr>
          <t>Introduzca un texto con la finalidad de la contratación</t>
        </r>
      </text>
    </comment>
    <comment ref="C413" authorId="2" shapeId="0" xr:uid="{5BB610AC-6A54-4B87-BC52-2F07D4BDADAF}">
      <text>
        <r>
          <rPr>
            <sz val="11"/>
            <color theme="1"/>
            <rFont val="Calibri"/>
            <family val="2"/>
            <scheme val="minor"/>
          </rPr>
          <t>Seleccionar un valor del listado</t>
        </r>
      </text>
    </comment>
    <comment ref="D413" authorId="2" shapeId="0" xr:uid="{0D54D231-B8DD-44E8-8BBE-210B01104F91}">
      <text>
        <r>
          <rPr>
            <sz val="11"/>
            <color theme="1"/>
            <rFont val="Calibri"/>
            <family val="2"/>
            <scheme val="minor"/>
          </rPr>
          <t>Seleccione el tipo de procedimiento</t>
        </r>
      </text>
    </comment>
    <comment ref="E413" authorId="2" shapeId="0" xr:uid="{D636BEF9-5141-4CA5-921B-99F2632ABB61}">
      <text>
        <r>
          <rPr>
            <sz val="11"/>
            <color theme="1"/>
            <rFont val="Calibri"/>
            <family val="2"/>
            <scheme val="minor"/>
          </rPr>
          <t>Seleccione un valor de la lista</t>
        </r>
      </text>
    </comment>
    <comment ref="F413" authorId="2" shapeId="0" xr:uid="{2B0A6FC7-0672-42FB-BC73-7A9DF7C6464A}">
      <text>
        <r>
          <rPr>
            <sz val="11"/>
            <color theme="1"/>
            <rFont val="Calibri"/>
            <family val="2"/>
            <scheme val="minor"/>
          </rPr>
          <t>Introduzca el código SNIP</t>
        </r>
      </text>
    </comment>
    <comment ref="C414" authorId="2" shapeId="0" xr:uid="{5C0A999C-9D31-4040-9B0A-6BB1FD882609}">
      <text>
        <r>
          <rPr>
            <sz val="11"/>
            <color theme="1"/>
            <rFont val="Calibri"/>
            <family val="2"/>
            <scheme val="minor"/>
          </rPr>
          <t>Introduzca la fecha de inicio del proceso, en formato dd-mm-aaaa</t>
        </r>
      </text>
    </comment>
    <comment ref="F414" authorId="2" shapeId="0" xr:uid="{32CF53DC-E3E4-4280-9670-A8D9E6D6F6C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5" authorId="2" shapeId="0" xr:uid="{21C4FCB7-BB03-4800-8FDC-1E8B3696029C}">
      <text/>
    </comment>
    <comment ref="C416" authorId="2" shapeId="0" xr:uid="{75F44F0E-A0AB-41DE-88F1-5B62243E2BA9}">
      <text>
        <r>
          <rPr>
            <sz val="11"/>
            <color theme="1"/>
            <rFont val="Calibri"/>
            <family val="2"/>
            <scheme val="minor"/>
          </rPr>
          <t>Introduzca la fecha prevista de adjudicación, en formato dd-mm-aaaa</t>
        </r>
      </text>
    </comment>
    <comment ref="F416" authorId="2" shapeId="0" xr:uid="{E2AF2B8B-A298-4386-A8D7-11959C415899}">
      <text/>
    </comment>
    <comment ref="F417" authorId="2" shapeId="0" xr:uid="{634F0005-E7EB-464F-9F72-3699CA5F749B}">
      <text/>
    </comment>
    <comment ref="A419" authorId="2" shapeId="0" xr:uid="{5427D6B1-F093-4BFF-AFE0-27D087D9A30A}">
      <text>
        <r>
          <rPr>
            <sz val="11"/>
            <color theme="1"/>
            <rFont val="Calibri"/>
            <family val="2"/>
            <scheme val="minor"/>
          </rPr>
          <t>Introduzca un codigo UNSPSC</t>
        </r>
      </text>
    </comment>
    <comment ref="B419" authorId="2" shapeId="0" xr:uid="{3C22D3EB-7C38-4C89-B372-0B76819D5F07}">
      <text>
        <r>
          <rPr>
            <sz val="11"/>
            <color theme="1"/>
            <rFont val="Calibri"/>
            <family val="2"/>
            <scheme val="minor"/>
          </rPr>
          <t>Descripción calculada automáticamente a partir de código del artículo</t>
        </r>
      </text>
    </comment>
    <comment ref="C419" authorId="2" shapeId="0" xr:uid="{778F555A-E18D-45CD-9480-2BCAACE32AB6}">
      <text>
        <r>
          <rPr>
            <sz val="11"/>
            <color theme="1"/>
            <rFont val="Calibri"/>
            <family val="2"/>
            <scheme val="minor"/>
          </rPr>
          <t>Seleccione un valor de la lista</t>
        </r>
      </text>
    </comment>
    <comment ref="D419" authorId="2" shapeId="0" xr:uid="{05375204-57C4-4DAF-AEFC-12B901A576CC}">
      <text>
        <r>
          <rPr>
            <sz val="11"/>
            <color theme="1"/>
            <rFont val="Calibri"/>
            <family val="2"/>
            <scheme val="minor"/>
          </rPr>
          <t>Introduzca un número con dos decimales como máximo. Debe ser igual o mayor a la "Cantidad Real Consumida"</t>
        </r>
      </text>
    </comment>
    <comment ref="E419" authorId="2" shapeId="0" xr:uid="{AECA5104-09E8-4797-B595-75259C2E8026}">
      <text>
        <r>
          <rPr>
            <sz val="11"/>
            <color theme="1"/>
            <rFont val="Calibri"/>
            <family val="2"/>
            <scheme val="minor"/>
          </rPr>
          <t>Introduzca un número con dos decimales como máximo</t>
        </r>
      </text>
    </comment>
    <comment ref="F419" authorId="2" shapeId="0" xr:uid="{D3D1B6F6-302B-41A4-A5A2-1619790AFE0C}">
      <text>
        <r>
          <rPr>
            <sz val="11"/>
            <color theme="1"/>
            <rFont val="Calibri"/>
            <family val="2"/>
            <scheme val="minor"/>
          </rPr>
          <t>Monto calculado automáticamente por el sistema</t>
        </r>
      </text>
    </comment>
    <comment ref="A424" authorId="2" shapeId="0" xr:uid="{D4C46E8F-7C6E-46C9-B269-9D9A50D0A031}">
      <text>
        <r>
          <rPr>
            <sz val="11"/>
            <color theme="1"/>
            <rFont val="Calibri"/>
            <family val="2"/>
            <scheme val="minor"/>
          </rPr>
          <t>Introducir un texto con el nombre o referencia de la contratación</t>
        </r>
      </text>
    </comment>
    <comment ref="B424" authorId="2" shapeId="0" xr:uid="{D8E0AE94-B2F3-462F-B06F-591E4C0218A8}">
      <text>
        <r>
          <rPr>
            <sz val="11"/>
            <color theme="1"/>
            <rFont val="Calibri"/>
            <family val="2"/>
            <scheme val="minor"/>
          </rPr>
          <t>Introduzca un texto con la finalidad de la contratación</t>
        </r>
      </text>
    </comment>
    <comment ref="C424" authorId="2" shapeId="0" xr:uid="{212636A9-C282-476F-8302-89AA0EA0B081}">
      <text>
        <r>
          <rPr>
            <sz val="11"/>
            <color theme="1"/>
            <rFont val="Calibri"/>
            <family val="2"/>
            <scheme val="minor"/>
          </rPr>
          <t>Seleccionar un valor del listado</t>
        </r>
      </text>
    </comment>
    <comment ref="D424" authorId="2" shapeId="0" xr:uid="{B13FC2CA-DCC7-412C-AB2F-E4A1008222B4}">
      <text>
        <r>
          <rPr>
            <sz val="11"/>
            <color theme="1"/>
            <rFont val="Calibri"/>
            <family val="2"/>
            <scheme val="minor"/>
          </rPr>
          <t>Seleccione el tipo de procedimiento</t>
        </r>
      </text>
    </comment>
    <comment ref="E424" authorId="2" shapeId="0" xr:uid="{86879BD4-FDE8-4ABA-8960-F34BE67915DB}">
      <text>
        <r>
          <rPr>
            <sz val="11"/>
            <color theme="1"/>
            <rFont val="Calibri"/>
            <family val="2"/>
            <scheme val="minor"/>
          </rPr>
          <t>Seleccione un valor de la lista</t>
        </r>
      </text>
    </comment>
    <comment ref="F424" authorId="2" shapeId="0" xr:uid="{C077603D-B28F-45C8-B3B0-DC5E1BE55E45}">
      <text>
        <r>
          <rPr>
            <sz val="11"/>
            <color theme="1"/>
            <rFont val="Calibri"/>
            <family val="2"/>
            <scheme val="minor"/>
          </rPr>
          <t>Introduzca el código SNIP</t>
        </r>
      </text>
    </comment>
    <comment ref="C425" authorId="2" shapeId="0" xr:uid="{76E13D80-BD84-4876-B352-40B214B107BB}">
      <text>
        <r>
          <rPr>
            <sz val="11"/>
            <color theme="1"/>
            <rFont val="Calibri"/>
            <family val="2"/>
            <scheme val="minor"/>
          </rPr>
          <t>Introduzca la fecha de inicio del proceso, en formato dd-mm-aaaa</t>
        </r>
      </text>
    </comment>
    <comment ref="F425" authorId="2" shapeId="0" xr:uid="{24C1E96F-1653-4759-8AAA-4E6138CA2FE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6" authorId="2" shapeId="0" xr:uid="{743D0D2E-D37C-45E0-90DB-3795DCEB3F2E}">
      <text/>
    </comment>
    <comment ref="C427" authorId="2" shapeId="0" xr:uid="{322E7160-BF54-4206-90E9-DD799FAD55B4}">
      <text>
        <r>
          <rPr>
            <sz val="11"/>
            <color theme="1"/>
            <rFont val="Calibri"/>
            <family val="2"/>
            <scheme val="minor"/>
          </rPr>
          <t>Introduzca la fecha prevista de adjudicación, en formato dd-mm-aaaa</t>
        </r>
      </text>
    </comment>
    <comment ref="F427" authorId="2" shapeId="0" xr:uid="{8B273C12-08F2-43A7-87EF-F80274F5DBA4}">
      <text/>
    </comment>
    <comment ref="F428" authorId="2" shapeId="0" xr:uid="{8B5350BE-8156-4518-8C7E-EC944EA63CEC}">
      <text/>
    </comment>
    <comment ref="A430" authorId="2" shapeId="0" xr:uid="{1EF5EE15-ACC8-4BBF-8227-C74C23A0158A}">
      <text>
        <r>
          <rPr>
            <sz val="11"/>
            <color theme="1"/>
            <rFont val="Calibri"/>
            <family val="2"/>
            <scheme val="minor"/>
          </rPr>
          <t>Introduzca un codigo UNSPSC</t>
        </r>
      </text>
    </comment>
    <comment ref="B430" authorId="2" shapeId="0" xr:uid="{C8FFD298-0E27-4F85-B8D3-3E2C9DF3F110}">
      <text>
        <r>
          <rPr>
            <sz val="11"/>
            <color theme="1"/>
            <rFont val="Calibri"/>
            <family val="2"/>
            <scheme val="minor"/>
          </rPr>
          <t>Descripción calculada automáticamente a partir de código del artículo</t>
        </r>
      </text>
    </comment>
    <comment ref="C430" authorId="2" shapeId="0" xr:uid="{FE0F5C17-0516-4A10-8EEF-E6B092D59C25}">
      <text>
        <r>
          <rPr>
            <sz val="11"/>
            <color theme="1"/>
            <rFont val="Calibri"/>
            <family val="2"/>
            <scheme val="minor"/>
          </rPr>
          <t>Seleccione un valor de la lista</t>
        </r>
      </text>
    </comment>
    <comment ref="D430" authorId="2" shapeId="0" xr:uid="{041CD574-E20D-45E9-96D0-02A630E8F2AF}">
      <text>
        <r>
          <rPr>
            <sz val="11"/>
            <color theme="1"/>
            <rFont val="Calibri"/>
            <family val="2"/>
            <scheme val="minor"/>
          </rPr>
          <t>Introduzca un número con dos decimales como máximo. Debe ser igual o mayor a la "Cantidad Real Consumida"</t>
        </r>
      </text>
    </comment>
    <comment ref="E430" authorId="2" shapeId="0" xr:uid="{64172D53-36BD-405A-9A37-9D6B5C61BFC8}">
      <text>
        <r>
          <rPr>
            <sz val="11"/>
            <color theme="1"/>
            <rFont val="Calibri"/>
            <family val="2"/>
            <scheme val="minor"/>
          </rPr>
          <t>Introduzca un número con dos decimales como máximo</t>
        </r>
      </text>
    </comment>
    <comment ref="F430" authorId="2" shapeId="0" xr:uid="{395B72C9-697D-4356-9EBB-79EBB65C0196}">
      <text>
        <r>
          <rPr>
            <sz val="11"/>
            <color theme="1"/>
            <rFont val="Calibri"/>
            <family val="2"/>
            <scheme val="minor"/>
          </rPr>
          <t>Monto calculado automáticamente por el sistema</t>
        </r>
      </text>
    </comment>
    <comment ref="A435" authorId="2" shapeId="0" xr:uid="{E4E3D017-E11E-4B1A-AC5C-D14CF614A96B}">
      <text>
        <r>
          <rPr>
            <sz val="11"/>
            <color theme="1"/>
            <rFont val="Calibri"/>
            <family val="2"/>
            <scheme val="minor"/>
          </rPr>
          <t>Introducir un texto con el nombre o referencia de la contratación</t>
        </r>
      </text>
    </comment>
    <comment ref="B435" authorId="2" shapeId="0" xr:uid="{8151A0F5-C06A-4B91-83FB-FD78315E2977}">
      <text>
        <r>
          <rPr>
            <sz val="11"/>
            <color theme="1"/>
            <rFont val="Calibri"/>
            <family val="2"/>
            <scheme val="minor"/>
          </rPr>
          <t>Introduzca un texto con la finalidad de la contratación</t>
        </r>
      </text>
    </comment>
    <comment ref="C435" authorId="2" shapeId="0" xr:uid="{E3E00E10-DD32-419C-9024-3BB28E252F3F}">
      <text>
        <r>
          <rPr>
            <sz val="11"/>
            <color theme="1"/>
            <rFont val="Calibri"/>
            <family val="2"/>
            <scheme val="minor"/>
          </rPr>
          <t>Seleccionar un valor del listado</t>
        </r>
      </text>
    </comment>
    <comment ref="D435" authorId="2" shapeId="0" xr:uid="{DE8DDDA0-A312-4DA9-9741-3E2C98C8BD93}">
      <text>
        <r>
          <rPr>
            <sz val="11"/>
            <color theme="1"/>
            <rFont val="Calibri"/>
            <family val="2"/>
            <scheme val="minor"/>
          </rPr>
          <t>Seleccione el tipo de procedimiento</t>
        </r>
      </text>
    </comment>
    <comment ref="E435" authorId="2" shapeId="0" xr:uid="{CA7FD1EC-4F7C-42F4-A203-7F2B1BD66843}">
      <text>
        <r>
          <rPr>
            <sz val="11"/>
            <color theme="1"/>
            <rFont val="Calibri"/>
            <family val="2"/>
            <scheme val="minor"/>
          </rPr>
          <t>Seleccione un valor de la lista</t>
        </r>
      </text>
    </comment>
    <comment ref="F435" authorId="2" shapeId="0" xr:uid="{762D2D38-980B-42CF-933A-F9C53E2423C3}">
      <text>
        <r>
          <rPr>
            <sz val="11"/>
            <color theme="1"/>
            <rFont val="Calibri"/>
            <family val="2"/>
            <scheme val="minor"/>
          </rPr>
          <t>Introduzca el código SNIP</t>
        </r>
      </text>
    </comment>
    <comment ref="C436" authorId="2" shapeId="0" xr:uid="{89A6C227-3DB5-4497-A331-42B7DB9ECF23}">
      <text>
        <r>
          <rPr>
            <sz val="11"/>
            <color theme="1"/>
            <rFont val="Calibri"/>
            <family val="2"/>
            <scheme val="minor"/>
          </rPr>
          <t>Introduzca la fecha de inicio del proceso, en formato dd-mm-aaaa</t>
        </r>
      </text>
    </comment>
    <comment ref="F436" authorId="2" shapeId="0" xr:uid="{9C84061C-31A4-43FD-8A84-368A3A3856C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7" authorId="2" shapeId="0" xr:uid="{4D6E86EC-42C2-4ECE-A9CA-BC24F9133508}">
      <text/>
    </comment>
    <comment ref="C438" authorId="2" shapeId="0" xr:uid="{4315507B-9F74-4CA4-8201-64471CDF04DE}">
      <text>
        <r>
          <rPr>
            <sz val="11"/>
            <color theme="1"/>
            <rFont val="Calibri"/>
            <family val="2"/>
            <scheme val="minor"/>
          </rPr>
          <t>Introduzca la fecha prevista de adjudicación, en formato dd-mm-aaaa</t>
        </r>
      </text>
    </comment>
    <comment ref="F438" authorId="2" shapeId="0" xr:uid="{128D0B7B-293A-42A1-A402-83BB6BD2B228}">
      <text/>
    </comment>
    <comment ref="F439" authorId="2" shapeId="0" xr:uid="{A14B8A23-89A3-4D12-89A5-1C713B2419D7}">
      <text/>
    </comment>
    <comment ref="A441" authorId="2" shapeId="0" xr:uid="{B7EB08AD-EBD4-4BD0-8BE3-32F4FE16B5C9}">
      <text>
        <r>
          <rPr>
            <sz val="11"/>
            <color theme="1"/>
            <rFont val="Calibri"/>
            <family val="2"/>
            <scheme val="minor"/>
          </rPr>
          <t>Introduzca un codigo UNSPSC</t>
        </r>
      </text>
    </comment>
    <comment ref="B441" authorId="2" shapeId="0" xr:uid="{9D823CB2-88E0-419E-AA9F-E43C3E9E167C}">
      <text>
        <r>
          <rPr>
            <sz val="11"/>
            <color theme="1"/>
            <rFont val="Calibri"/>
            <family val="2"/>
            <scheme val="minor"/>
          </rPr>
          <t>Descripción calculada automáticamente a partir de código del artículo</t>
        </r>
      </text>
    </comment>
    <comment ref="C441" authorId="2" shapeId="0" xr:uid="{FC1E1BD4-0568-4F26-89D2-E3C126DC4A85}">
      <text>
        <r>
          <rPr>
            <sz val="11"/>
            <color theme="1"/>
            <rFont val="Calibri"/>
            <family val="2"/>
            <scheme val="minor"/>
          </rPr>
          <t>Seleccione un valor de la lista</t>
        </r>
      </text>
    </comment>
    <comment ref="D441" authorId="2" shapeId="0" xr:uid="{39DE6C14-C5CD-4BFA-9C7C-402D61FCA5A1}">
      <text>
        <r>
          <rPr>
            <sz val="11"/>
            <color theme="1"/>
            <rFont val="Calibri"/>
            <family val="2"/>
            <scheme val="minor"/>
          </rPr>
          <t>Introduzca un número con dos decimales como máximo. Debe ser igual o mayor a la "Cantidad Real Consumida"</t>
        </r>
      </text>
    </comment>
    <comment ref="E441" authorId="2" shapeId="0" xr:uid="{D9CDD10A-D777-40A8-A41A-80881ABC4D1B}">
      <text>
        <r>
          <rPr>
            <sz val="11"/>
            <color theme="1"/>
            <rFont val="Calibri"/>
            <family val="2"/>
            <scheme val="minor"/>
          </rPr>
          <t>Introduzca un número con dos decimales como máximo</t>
        </r>
      </text>
    </comment>
    <comment ref="F441" authorId="2" shapeId="0" xr:uid="{00753E5E-C297-4177-B7DC-782104FB61F9}">
      <text>
        <r>
          <rPr>
            <sz val="11"/>
            <color theme="1"/>
            <rFont val="Calibri"/>
            <family val="2"/>
            <scheme val="minor"/>
          </rPr>
          <t>Monto calculado automáticamente por el sistema</t>
        </r>
      </text>
    </comment>
    <comment ref="A446" authorId="2" shapeId="0" xr:uid="{482C237F-DC59-44FF-931E-284E08B7C5ED}">
      <text>
        <r>
          <rPr>
            <sz val="11"/>
            <color theme="1"/>
            <rFont val="Calibri"/>
            <family val="2"/>
            <scheme val="minor"/>
          </rPr>
          <t>Introducir un texto con el nombre o referencia de la contratación</t>
        </r>
      </text>
    </comment>
    <comment ref="B446" authorId="2" shapeId="0" xr:uid="{58C2AAC3-FB5F-47D0-AD80-6D727405B62A}">
      <text>
        <r>
          <rPr>
            <sz val="11"/>
            <color theme="1"/>
            <rFont val="Calibri"/>
            <family val="2"/>
            <scheme val="minor"/>
          </rPr>
          <t>Introduzca un texto con la finalidad de la contratación</t>
        </r>
      </text>
    </comment>
    <comment ref="C446" authorId="2" shapeId="0" xr:uid="{65B7B860-7B40-4C7D-A447-8E42093E1E69}">
      <text>
        <r>
          <rPr>
            <sz val="11"/>
            <color theme="1"/>
            <rFont val="Calibri"/>
            <family val="2"/>
            <scheme val="minor"/>
          </rPr>
          <t>Seleccionar un valor del listado</t>
        </r>
      </text>
    </comment>
    <comment ref="D446" authorId="2" shapeId="0" xr:uid="{F3ABB219-D0BE-441E-A1FD-25DEE886714A}">
      <text>
        <r>
          <rPr>
            <sz val="11"/>
            <color theme="1"/>
            <rFont val="Calibri"/>
            <family val="2"/>
            <scheme val="minor"/>
          </rPr>
          <t>Seleccione el tipo de procedimiento</t>
        </r>
      </text>
    </comment>
    <comment ref="E446" authorId="2" shapeId="0" xr:uid="{4192E4BA-E972-44F5-867F-ED1E55ECB7DE}">
      <text>
        <r>
          <rPr>
            <sz val="11"/>
            <color theme="1"/>
            <rFont val="Calibri"/>
            <family val="2"/>
            <scheme val="minor"/>
          </rPr>
          <t>Seleccione un valor de la lista</t>
        </r>
      </text>
    </comment>
    <comment ref="F446" authorId="2" shapeId="0" xr:uid="{A9566961-0FD9-4FD9-820F-B1CDE18F23C0}">
      <text>
        <r>
          <rPr>
            <sz val="11"/>
            <color theme="1"/>
            <rFont val="Calibri"/>
            <family val="2"/>
            <scheme val="minor"/>
          </rPr>
          <t>Introduzca el código SNIP</t>
        </r>
      </text>
    </comment>
    <comment ref="C447" authorId="2" shapeId="0" xr:uid="{7F3BC6AE-FBAB-4220-96C3-A3138E5D3E98}">
      <text>
        <r>
          <rPr>
            <sz val="11"/>
            <color theme="1"/>
            <rFont val="Calibri"/>
            <family val="2"/>
            <scheme val="minor"/>
          </rPr>
          <t>Introduzca la fecha de inicio del proceso, en formato dd-mm-aaaa</t>
        </r>
      </text>
    </comment>
    <comment ref="F447" authorId="2" shapeId="0" xr:uid="{7593DD30-D975-4841-9B04-F9872C0C813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2" shapeId="0" xr:uid="{1F471CB4-55D2-45F4-86D3-458A60D48351}">
      <text/>
    </comment>
    <comment ref="C449" authorId="2" shapeId="0" xr:uid="{2C01B7C6-C08D-4445-8998-314F89FA17A4}">
      <text>
        <r>
          <rPr>
            <sz val="11"/>
            <color theme="1"/>
            <rFont val="Calibri"/>
            <family val="2"/>
            <scheme val="minor"/>
          </rPr>
          <t>Introduzca la fecha prevista de adjudicación, en formato dd-mm-aaaa</t>
        </r>
      </text>
    </comment>
    <comment ref="F449" authorId="2" shapeId="0" xr:uid="{B0E62EE6-DBD4-49C1-AE2B-FD90DE4AFD61}">
      <text/>
    </comment>
    <comment ref="F450" authorId="2" shapeId="0" xr:uid="{F8259388-AC24-4838-B743-FD67FE29A626}">
      <text/>
    </comment>
    <comment ref="A452" authorId="2" shapeId="0" xr:uid="{9D935677-9E98-4F2F-9050-934C7066BCF6}">
      <text>
        <r>
          <rPr>
            <sz val="11"/>
            <color theme="1"/>
            <rFont val="Calibri"/>
            <family val="2"/>
            <scheme val="minor"/>
          </rPr>
          <t>Introduzca un codigo UNSPSC</t>
        </r>
      </text>
    </comment>
    <comment ref="B452" authorId="2" shapeId="0" xr:uid="{5D82292B-DC59-48EE-A772-137F57664091}">
      <text>
        <r>
          <rPr>
            <sz val="11"/>
            <color theme="1"/>
            <rFont val="Calibri"/>
            <family val="2"/>
            <scheme val="minor"/>
          </rPr>
          <t>Descripción calculada automáticamente a partir de código del artículo</t>
        </r>
      </text>
    </comment>
    <comment ref="C452" authorId="2" shapeId="0" xr:uid="{41EFCBE1-BC6A-42BF-BEE8-1B998A974108}">
      <text>
        <r>
          <rPr>
            <sz val="11"/>
            <color theme="1"/>
            <rFont val="Calibri"/>
            <family val="2"/>
            <scheme val="minor"/>
          </rPr>
          <t>Seleccione un valor de la lista</t>
        </r>
      </text>
    </comment>
    <comment ref="D452" authorId="2" shapeId="0" xr:uid="{ED9E47FE-8880-4A1B-A4CC-690E79407BD1}">
      <text>
        <r>
          <rPr>
            <sz val="11"/>
            <color theme="1"/>
            <rFont val="Calibri"/>
            <family val="2"/>
            <scheme val="minor"/>
          </rPr>
          <t>Introduzca un número con dos decimales como máximo. Debe ser igual o mayor a la "Cantidad Real Consumida"</t>
        </r>
      </text>
    </comment>
    <comment ref="E452" authorId="2" shapeId="0" xr:uid="{91F556C6-924A-4A24-9A3C-CE9C0301222F}">
      <text>
        <r>
          <rPr>
            <sz val="11"/>
            <color theme="1"/>
            <rFont val="Calibri"/>
            <family val="2"/>
            <scheme val="minor"/>
          </rPr>
          <t>Introduzca un número con dos decimales como máximo</t>
        </r>
      </text>
    </comment>
    <comment ref="F452" authorId="2" shapeId="0" xr:uid="{C1B11EF5-B90F-4F9B-A933-CB4A9C866CE1}">
      <text>
        <r>
          <rPr>
            <sz val="11"/>
            <color theme="1"/>
            <rFont val="Calibri"/>
            <family val="2"/>
            <scheme val="minor"/>
          </rPr>
          <t>Monto calculado automáticamente por el sistema</t>
        </r>
      </text>
    </comment>
    <comment ref="A457" authorId="2" shapeId="0" xr:uid="{87FA370C-8C57-48D9-AF99-DB69D74D3332}">
      <text>
        <r>
          <rPr>
            <sz val="11"/>
            <color theme="1"/>
            <rFont val="Calibri"/>
            <family val="2"/>
            <scheme val="minor"/>
          </rPr>
          <t>Introducir un texto con el nombre o referencia de la contratación</t>
        </r>
      </text>
    </comment>
    <comment ref="B457" authorId="2" shapeId="0" xr:uid="{3D4189E3-269A-4972-A106-01EEE6908519}">
      <text>
        <r>
          <rPr>
            <sz val="11"/>
            <color theme="1"/>
            <rFont val="Calibri"/>
            <family val="2"/>
            <scheme val="minor"/>
          </rPr>
          <t>Introduzca un texto con la finalidad de la contratación</t>
        </r>
      </text>
    </comment>
    <comment ref="C457" authorId="2" shapeId="0" xr:uid="{8E03F8AE-9041-45E2-A2D1-BF33AE52910F}">
      <text>
        <r>
          <rPr>
            <sz val="11"/>
            <color theme="1"/>
            <rFont val="Calibri"/>
            <family val="2"/>
            <scheme val="minor"/>
          </rPr>
          <t>Seleccionar un valor del listado</t>
        </r>
      </text>
    </comment>
    <comment ref="D457" authorId="2" shapeId="0" xr:uid="{B65EFFEF-A62B-449D-BB3D-D31103C671C0}">
      <text>
        <r>
          <rPr>
            <sz val="11"/>
            <color theme="1"/>
            <rFont val="Calibri"/>
            <family val="2"/>
            <scheme val="minor"/>
          </rPr>
          <t>Seleccione el tipo de procedimiento</t>
        </r>
      </text>
    </comment>
    <comment ref="E457" authorId="2" shapeId="0" xr:uid="{9BF40979-C552-442B-B612-A38AB7D7D2D2}">
      <text>
        <r>
          <rPr>
            <sz val="11"/>
            <color theme="1"/>
            <rFont val="Calibri"/>
            <family val="2"/>
            <scheme val="minor"/>
          </rPr>
          <t>Seleccione un valor de la lista</t>
        </r>
      </text>
    </comment>
    <comment ref="F457" authorId="2" shapeId="0" xr:uid="{EF802FDE-5CD0-4DDA-8B71-D1862DAF22E5}">
      <text>
        <r>
          <rPr>
            <sz val="11"/>
            <color theme="1"/>
            <rFont val="Calibri"/>
            <family val="2"/>
            <scheme val="minor"/>
          </rPr>
          <t>Introduzca el código SNIP</t>
        </r>
      </text>
    </comment>
    <comment ref="C458" authorId="2" shapeId="0" xr:uid="{6AA68FD1-DB3B-4E6A-8E4D-7D01A83B20F3}">
      <text>
        <r>
          <rPr>
            <sz val="11"/>
            <color theme="1"/>
            <rFont val="Calibri"/>
            <family val="2"/>
            <scheme val="minor"/>
          </rPr>
          <t>Introduzca la fecha de inicio del proceso, en formato dd-mm-aaaa</t>
        </r>
      </text>
    </comment>
    <comment ref="F458" authorId="2" shapeId="0" xr:uid="{A1FF907F-80BB-48E2-918C-2A957787211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2" shapeId="0" xr:uid="{501F5B9A-17F6-44F9-8579-46AE5348F0D4}">
      <text/>
    </comment>
    <comment ref="C460" authorId="2" shapeId="0" xr:uid="{8DCED0EB-C57B-4869-82D3-3E962F140BEC}">
      <text>
        <r>
          <rPr>
            <sz val="11"/>
            <color theme="1"/>
            <rFont val="Calibri"/>
            <family val="2"/>
            <scheme val="minor"/>
          </rPr>
          <t>Introduzca la fecha prevista de adjudicación, en formato dd-mm-aaaa</t>
        </r>
      </text>
    </comment>
    <comment ref="F460" authorId="2" shapeId="0" xr:uid="{1E48FF1E-E6FF-49E7-A9F2-B2BFC223CBED}">
      <text/>
    </comment>
    <comment ref="F461" authorId="2" shapeId="0" xr:uid="{13B0847D-44DF-43A5-BAA2-1249EFCFD543}">
      <text/>
    </comment>
    <comment ref="A463" authorId="2" shapeId="0" xr:uid="{DDBAA436-1AF9-4283-A155-F7A81A786582}">
      <text>
        <r>
          <rPr>
            <sz val="11"/>
            <color theme="1"/>
            <rFont val="Calibri"/>
            <family val="2"/>
            <scheme val="minor"/>
          </rPr>
          <t>Introduzca un codigo UNSPSC</t>
        </r>
      </text>
    </comment>
    <comment ref="B463" authorId="2" shapeId="0" xr:uid="{F517544C-B206-4E38-83F8-B9A419938EF0}">
      <text>
        <r>
          <rPr>
            <sz val="11"/>
            <color theme="1"/>
            <rFont val="Calibri"/>
            <family val="2"/>
            <scheme val="minor"/>
          </rPr>
          <t>Descripción calculada automáticamente a partir de código del artículo</t>
        </r>
      </text>
    </comment>
    <comment ref="C463" authorId="2" shapeId="0" xr:uid="{D3054656-5CEA-4B6E-AEB2-3634A530C738}">
      <text>
        <r>
          <rPr>
            <sz val="11"/>
            <color theme="1"/>
            <rFont val="Calibri"/>
            <family val="2"/>
            <scheme val="minor"/>
          </rPr>
          <t>Seleccione un valor de la lista</t>
        </r>
      </text>
    </comment>
    <comment ref="D463" authorId="2" shapeId="0" xr:uid="{B114B89B-7D65-48B8-A037-C205A5491C63}">
      <text>
        <r>
          <rPr>
            <sz val="11"/>
            <color theme="1"/>
            <rFont val="Calibri"/>
            <family val="2"/>
            <scheme val="minor"/>
          </rPr>
          <t>Introduzca un número con dos decimales como máximo. Debe ser igual o mayor a la "Cantidad Real Consumida"</t>
        </r>
      </text>
    </comment>
    <comment ref="E463" authorId="2" shapeId="0" xr:uid="{1167EFE5-C54B-4BB4-AA14-4157601ED1B8}">
      <text>
        <r>
          <rPr>
            <sz val="11"/>
            <color theme="1"/>
            <rFont val="Calibri"/>
            <family val="2"/>
            <scheme val="minor"/>
          </rPr>
          <t>Introduzca un número con dos decimales como máximo</t>
        </r>
      </text>
    </comment>
    <comment ref="F463" authorId="2" shapeId="0" xr:uid="{1E49D5ED-6B02-4DF0-B94C-EDED1ABA4350}">
      <text>
        <r>
          <rPr>
            <sz val="11"/>
            <color theme="1"/>
            <rFont val="Calibri"/>
            <family val="2"/>
            <scheme val="minor"/>
          </rPr>
          <t>Monto calculado automáticamente por el sistema</t>
        </r>
      </text>
    </comment>
    <comment ref="A468" authorId="2" shapeId="0" xr:uid="{508C176A-3E0F-4537-966F-830052626A9D}">
      <text>
        <r>
          <rPr>
            <sz val="11"/>
            <color theme="1"/>
            <rFont val="Calibri"/>
            <family val="2"/>
            <scheme val="minor"/>
          </rPr>
          <t>Introducir un texto con el nombre o referencia de la contratación</t>
        </r>
      </text>
    </comment>
    <comment ref="B468" authorId="2" shapeId="0" xr:uid="{9B3697A2-CE73-4A06-AC33-6B9152BD8876}">
      <text>
        <r>
          <rPr>
            <sz val="11"/>
            <color theme="1"/>
            <rFont val="Calibri"/>
            <family val="2"/>
            <scheme val="minor"/>
          </rPr>
          <t>Introduzca un texto con la finalidad de la contratación</t>
        </r>
      </text>
    </comment>
    <comment ref="C468" authorId="2" shapeId="0" xr:uid="{C14A981C-64B5-472C-8C13-E7777C6108F0}">
      <text>
        <r>
          <rPr>
            <sz val="11"/>
            <color theme="1"/>
            <rFont val="Calibri"/>
            <family val="2"/>
            <scheme val="minor"/>
          </rPr>
          <t>Seleccionar un valor del listado</t>
        </r>
      </text>
    </comment>
    <comment ref="D468" authorId="2" shapeId="0" xr:uid="{C43AE3D5-F5C9-4BDD-8237-F4097CC1BC24}">
      <text>
        <r>
          <rPr>
            <sz val="11"/>
            <color theme="1"/>
            <rFont val="Calibri"/>
            <family val="2"/>
            <scheme val="minor"/>
          </rPr>
          <t>Seleccione el tipo de procedimiento</t>
        </r>
      </text>
    </comment>
    <comment ref="E468" authorId="2" shapeId="0" xr:uid="{A2C1EB7A-7F19-4262-AB63-E66C6AE7D719}">
      <text>
        <r>
          <rPr>
            <sz val="11"/>
            <color theme="1"/>
            <rFont val="Calibri"/>
            <family val="2"/>
            <scheme val="minor"/>
          </rPr>
          <t>Seleccione un valor de la lista</t>
        </r>
      </text>
    </comment>
    <comment ref="F468" authorId="2" shapeId="0" xr:uid="{FC18000B-4C05-4910-BA25-3DD89DDC0A75}">
      <text>
        <r>
          <rPr>
            <sz val="11"/>
            <color theme="1"/>
            <rFont val="Calibri"/>
            <family val="2"/>
            <scheme val="minor"/>
          </rPr>
          <t>Introduzca el código SNIP</t>
        </r>
      </text>
    </comment>
    <comment ref="C469" authorId="2" shapeId="0" xr:uid="{EFD619A8-15DD-4D8F-9D0B-B09DED3A66AD}">
      <text>
        <r>
          <rPr>
            <sz val="11"/>
            <color theme="1"/>
            <rFont val="Calibri"/>
            <family val="2"/>
            <scheme val="minor"/>
          </rPr>
          <t>Introduzca la fecha de inicio del proceso, en formato dd-mm-aaaa</t>
        </r>
      </text>
    </comment>
    <comment ref="F469" authorId="2" shapeId="0" xr:uid="{61449765-3864-4C68-B488-D45E5906F5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2" shapeId="0" xr:uid="{F7DCC4D6-B35E-402C-807A-1A1037F87E03}">
      <text/>
    </comment>
    <comment ref="C471" authorId="2" shapeId="0" xr:uid="{0A99BDF7-6608-4F81-A642-B9017BA087EF}">
      <text>
        <r>
          <rPr>
            <sz val="11"/>
            <color theme="1"/>
            <rFont val="Calibri"/>
            <family val="2"/>
            <scheme val="minor"/>
          </rPr>
          <t>Introduzca la fecha prevista de adjudicación, en formato dd-mm-aaaa</t>
        </r>
      </text>
    </comment>
    <comment ref="F471" authorId="2" shapeId="0" xr:uid="{2104B7D5-652A-408B-81FD-9B3DC1120771}">
      <text/>
    </comment>
    <comment ref="F472" authorId="2" shapeId="0" xr:uid="{8A82EC62-84AB-4DAC-AE1E-D6222694728F}">
      <text/>
    </comment>
    <comment ref="A474" authorId="2" shapeId="0" xr:uid="{627111DD-D026-4C75-8A23-8B660B0362AC}">
      <text>
        <r>
          <rPr>
            <sz val="11"/>
            <color theme="1"/>
            <rFont val="Calibri"/>
            <family val="2"/>
            <scheme val="minor"/>
          </rPr>
          <t>Introduzca un codigo UNSPSC</t>
        </r>
      </text>
    </comment>
    <comment ref="B474" authorId="2" shapeId="0" xr:uid="{31847EF0-C133-4F35-AD3F-6B2C497C50B6}">
      <text>
        <r>
          <rPr>
            <sz val="11"/>
            <color theme="1"/>
            <rFont val="Calibri"/>
            <family val="2"/>
            <scheme val="minor"/>
          </rPr>
          <t>Descripción calculada automáticamente a partir de código del artículo</t>
        </r>
      </text>
    </comment>
    <comment ref="C474" authorId="2" shapeId="0" xr:uid="{D7757483-3C53-4607-AE1B-17BBD3A24B1D}">
      <text>
        <r>
          <rPr>
            <sz val="11"/>
            <color theme="1"/>
            <rFont val="Calibri"/>
            <family val="2"/>
            <scheme val="minor"/>
          </rPr>
          <t>Seleccione un valor de la lista</t>
        </r>
      </text>
    </comment>
    <comment ref="D474" authorId="2" shapeId="0" xr:uid="{7346DBC1-5CEE-43B9-92A0-5F9865F8D9B1}">
      <text>
        <r>
          <rPr>
            <sz val="11"/>
            <color theme="1"/>
            <rFont val="Calibri"/>
            <family val="2"/>
            <scheme val="minor"/>
          </rPr>
          <t>Introduzca un número con dos decimales como máximo. Debe ser igual o mayor a la "Cantidad Real Consumida"</t>
        </r>
      </text>
    </comment>
    <comment ref="E474" authorId="2" shapeId="0" xr:uid="{8CA6C963-D991-4CC7-8091-2FEDBCA6D7B2}">
      <text>
        <r>
          <rPr>
            <sz val="11"/>
            <color theme="1"/>
            <rFont val="Calibri"/>
            <family val="2"/>
            <scheme val="minor"/>
          </rPr>
          <t>Introduzca un número con dos decimales como máximo</t>
        </r>
      </text>
    </comment>
    <comment ref="F474" authorId="2" shapeId="0" xr:uid="{3C2F6A2E-50CC-483C-BE02-F12085D9CBD0}">
      <text>
        <r>
          <rPr>
            <sz val="11"/>
            <color theme="1"/>
            <rFont val="Calibri"/>
            <family val="2"/>
            <scheme val="minor"/>
          </rPr>
          <t>Monto calculado automáticamente por el sistema</t>
        </r>
      </text>
    </comment>
    <comment ref="A480" authorId="2" shapeId="0" xr:uid="{E7FE520A-71C2-486F-82FE-98AEC39889B1}">
      <text>
        <r>
          <rPr>
            <sz val="11"/>
            <color theme="1"/>
            <rFont val="Calibri"/>
            <family val="2"/>
            <scheme val="minor"/>
          </rPr>
          <t>Introducir un texto con el nombre o referencia de la contratación</t>
        </r>
      </text>
    </comment>
    <comment ref="B480" authorId="2" shapeId="0" xr:uid="{DD39A6E9-7658-485B-8AC9-8BF5E2851D0A}">
      <text>
        <r>
          <rPr>
            <sz val="11"/>
            <color theme="1"/>
            <rFont val="Calibri"/>
            <family val="2"/>
            <scheme val="minor"/>
          </rPr>
          <t>Introduzca un texto con la finalidad de la contratación</t>
        </r>
      </text>
    </comment>
    <comment ref="C480" authorId="2" shapeId="0" xr:uid="{F45F26EB-2EAC-4852-A8F0-DD1D3483CF41}">
      <text>
        <r>
          <rPr>
            <sz val="11"/>
            <color theme="1"/>
            <rFont val="Calibri"/>
            <family val="2"/>
            <scheme val="minor"/>
          </rPr>
          <t>Seleccionar un valor del listado</t>
        </r>
      </text>
    </comment>
    <comment ref="D480" authorId="2" shapeId="0" xr:uid="{AEC84674-1A08-447D-964D-72DE69C8F28E}">
      <text>
        <r>
          <rPr>
            <sz val="11"/>
            <color theme="1"/>
            <rFont val="Calibri"/>
            <family val="2"/>
            <scheme val="minor"/>
          </rPr>
          <t>Seleccione el tipo de procedimiento</t>
        </r>
      </text>
    </comment>
    <comment ref="E480" authorId="2" shapeId="0" xr:uid="{50CAA451-2EFC-41C8-B599-9781D7E74230}">
      <text>
        <r>
          <rPr>
            <sz val="11"/>
            <color theme="1"/>
            <rFont val="Calibri"/>
            <family val="2"/>
            <scheme val="minor"/>
          </rPr>
          <t>Seleccione un valor de la lista</t>
        </r>
      </text>
    </comment>
    <comment ref="F480" authorId="2" shapeId="0" xr:uid="{E6F4BC47-918D-4D8A-BDB5-3E8D08AD7B58}">
      <text>
        <r>
          <rPr>
            <sz val="11"/>
            <color theme="1"/>
            <rFont val="Calibri"/>
            <family val="2"/>
            <scheme val="minor"/>
          </rPr>
          <t>Introduzca el código SNIP</t>
        </r>
      </text>
    </comment>
    <comment ref="C481" authorId="2" shapeId="0" xr:uid="{D948F63B-E7CA-4F1F-B1F8-0D39374A3388}">
      <text>
        <r>
          <rPr>
            <sz val="11"/>
            <color theme="1"/>
            <rFont val="Calibri"/>
            <family val="2"/>
            <scheme val="minor"/>
          </rPr>
          <t>Introduzca la fecha de inicio del proceso, en formato dd-mm-aaaa</t>
        </r>
      </text>
    </comment>
    <comment ref="F481" authorId="2" shapeId="0" xr:uid="{4F979545-310C-4AB9-97B7-8F64BEB7B5E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2" authorId="2" shapeId="0" xr:uid="{F98DB62B-1BCD-41F2-92EF-FAD773743E53}">
      <text/>
    </comment>
    <comment ref="C483" authorId="2" shapeId="0" xr:uid="{07E262F7-8C52-42EA-9281-670EAB745D2B}">
      <text>
        <r>
          <rPr>
            <sz val="11"/>
            <color theme="1"/>
            <rFont val="Calibri"/>
            <family val="2"/>
            <scheme val="minor"/>
          </rPr>
          <t>Introduzca la fecha prevista de adjudicación, en formato dd-mm-aaaa</t>
        </r>
      </text>
    </comment>
    <comment ref="F483" authorId="2" shapeId="0" xr:uid="{B77C4F44-590D-4F0E-88A8-203E061AD3A0}">
      <text/>
    </comment>
    <comment ref="F484" authorId="2" shapeId="0" xr:uid="{C69B9429-3934-4F42-8D9B-CF3D6919C4E1}">
      <text/>
    </comment>
    <comment ref="A486" authorId="2" shapeId="0" xr:uid="{02D0E494-171E-43FF-9A02-2EE49A7B6F24}">
      <text>
        <r>
          <rPr>
            <sz val="11"/>
            <color theme="1"/>
            <rFont val="Calibri"/>
            <family val="2"/>
            <scheme val="minor"/>
          </rPr>
          <t>Introduzca un codigo UNSPSC</t>
        </r>
      </text>
    </comment>
    <comment ref="B486" authorId="2" shapeId="0" xr:uid="{08674906-E96E-48F3-956F-9DE65A0515E9}">
      <text>
        <r>
          <rPr>
            <sz val="11"/>
            <color theme="1"/>
            <rFont val="Calibri"/>
            <family val="2"/>
            <scheme val="minor"/>
          </rPr>
          <t>Descripción calculada automáticamente a partir de código del artículo</t>
        </r>
      </text>
    </comment>
    <comment ref="C486" authorId="2" shapeId="0" xr:uid="{530BE010-3A71-4F24-968A-54669F6B2276}">
      <text>
        <r>
          <rPr>
            <sz val="11"/>
            <color theme="1"/>
            <rFont val="Calibri"/>
            <family val="2"/>
            <scheme val="minor"/>
          </rPr>
          <t>Seleccione un valor de la lista</t>
        </r>
      </text>
    </comment>
    <comment ref="D486" authorId="2" shapeId="0" xr:uid="{759C6BB8-D105-43F6-8F7B-8981BE89490D}">
      <text>
        <r>
          <rPr>
            <sz val="11"/>
            <color theme="1"/>
            <rFont val="Calibri"/>
            <family val="2"/>
            <scheme val="minor"/>
          </rPr>
          <t>Introduzca un número con dos decimales como máximo. Debe ser igual o mayor a la "Cantidad Real Consumida"</t>
        </r>
      </text>
    </comment>
    <comment ref="E486" authorId="2" shapeId="0" xr:uid="{C54C64FD-3857-45EC-947C-46FE453F9EC5}">
      <text>
        <r>
          <rPr>
            <sz val="11"/>
            <color theme="1"/>
            <rFont val="Calibri"/>
            <family val="2"/>
            <scheme val="minor"/>
          </rPr>
          <t>Introduzca un número con dos decimales como máximo</t>
        </r>
      </text>
    </comment>
    <comment ref="F486" authorId="2" shapeId="0" xr:uid="{E8D6D617-730C-480E-A694-9673C8DA7D32}">
      <text>
        <r>
          <rPr>
            <sz val="11"/>
            <color theme="1"/>
            <rFont val="Calibri"/>
            <family val="2"/>
            <scheme val="minor"/>
          </rPr>
          <t>Monto calculado automáticamente por el sistema</t>
        </r>
      </text>
    </comment>
    <comment ref="A491" authorId="2" shapeId="0" xr:uid="{F7DE72F4-8BA8-4740-8D50-A8E4EA170E1C}">
      <text>
        <r>
          <rPr>
            <sz val="11"/>
            <color theme="1"/>
            <rFont val="Calibri"/>
            <family val="2"/>
            <scheme val="minor"/>
          </rPr>
          <t>Introducir un texto con el nombre o referencia de la contratación</t>
        </r>
      </text>
    </comment>
    <comment ref="B491" authorId="2" shapeId="0" xr:uid="{8BF1EA4F-24D3-491A-8BF3-19651393797A}">
      <text>
        <r>
          <rPr>
            <sz val="11"/>
            <color theme="1"/>
            <rFont val="Calibri"/>
            <family val="2"/>
            <scheme val="minor"/>
          </rPr>
          <t>Introduzca un texto con la finalidad de la contratación</t>
        </r>
      </text>
    </comment>
    <comment ref="C491" authorId="2" shapeId="0" xr:uid="{0FB08394-9171-4345-8313-AD9DF39E3639}">
      <text>
        <r>
          <rPr>
            <sz val="11"/>
            <color theme="1"/>
            <rFont val="Calibri"/>
            <family val="2"/>
            <scheme val="minor"/>
          </rPr>
          <t>Seleccionar un valor del listado</t>
        </r>
      </text>
    </comment>
    <comment ref="D491" authorId="2" shapeId="0" xr:uid="{3BDE63E8-8546-4D6B-9E9D-A429C0B0F144}">
      <text>
        <r>
          <rPr>
            <sz val="11"/>
            <color theme="1"/>
            <rFont val="Calibri"/>
            <family val="2"/>
            <scheme val="minor"/>
          </rPr>
          <t>Seleccione el tipo de procedimiento</t>
        </r>
      </text>
    </comment>
    <comment ref="E491" authorId="2" shapeId="0" xr:uid="{81294D0A-8074-46D3-8455-E20FACE77CCF}">
      <text>
        <r>
          <rPr>
            <sz val="11"/>
            <color theme="1"/>
            <rFont val="Calibri"/>
            <family val="2"/>
            <scheme val="minor"/>
          </rPr>
          <t>Seleccione un valor de la lista</t>
        </r>
      </text>
    </comment>
    <comment ref="F491" authorId="2" shapeId="0" xr:uid="{B7920847-CD9C-41F1-BF0E-58084C473253}">
      <text>
        <r>
          <rPr>
            <sz val="11"/>
            <color theme="1"/>
            <rFont val="Calibri"/>
            <family val="2"/>
            <scheme val="minor"/>
          </rPr>
          <t>Introduzca el código SNIP</t>
        </r>
      </text>
    </comment>
    <comment ref="C492" authorId="2" shapeId="0" xr:uid="{FCAA989C-9647-43BF-B8F2-C4CEB011F3D5}">
      <text>
        <r>
          <rPr>
            <sz val="11"/>
            <color theme="1"/>
            <rFont val="Calibri"/>
            <family val="2"/>
            <scheme val="minor"/>
          </rPr>
          <t>Introduzca la fecha de inicio del proceso, en formato dd-mm-aaaa</t>
        </r>
      </text>
    </comment>
    <comment ref="F492" authorId="2" shapeId="0" xr:uid="{A51CD88F-9E8D-4A75-9B2B-7E18B83106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3" authorId="2" shapeId="0" xr:uid="{C25ED699-1A7C-4B00-9178-D7524C4448D1}">
      <text/>
    </comment>
    <comment ref="C494" authorId="2" shapeId="0" xr:uid="{29F39E13-EFC3-4C8A-AE7B-2E2C33F09F16}">
      <text>
        <r>
          <rPr>
            <sz val="11"/>
            <color theme="1"/>
            <rFont val="Calibri"/>
            <family val="2"/>
            <scheme val="minor"/>
          </rPr>
          <t>Introduzca la fecha prevista de adjudicación, en formato dd-mm-aaaa</t>
        </r>
      </text>
    </comment>
    <comment ref="F494" authorId="2" shapeId="0" xr:uid="{9193BE44-7E06-4D1B-B58B-30C0A72C2C6C}">
      <text/>
    </comment>
    <comment ref="F495" authorId="2" shapeId="0" xr:uid="{05F8F6B2-ABE9-41D0-BA66-6E7BF1B9AA6A}">
      <text/>
    </comment>
    <comment ref="A497" authorId="2" shapeId="0" xr:uid="{9BF238E8-B0EF-4B37-8E48-D0FAC25714B3}">
      <text>
        <r>
          <rPr>
            <sz val="11"/>
            <color theme="1"/>
            <rFont val="Calibri"/>
            <family val="2"/>
            <scheme val="minor"/>
          </rPr>
          <t>Introduzca un codigo UNSPSC</t>
        </r>
      </text>
    </comment>
    <comment ref="B497" authorId="2" shapeId="0" xr:uid="{A1F3B136-8857-477F-A98C-CF5A39DAB7CD}">
      <text>
        <r>
          <rPr>
            <sz val="11"/>
            <color theme="1"/>
            <rFont val="Calibri"/>
            <family val="2"/>
            <scheme val="minor"/>
          </rPr>
          <t>Descripción calculada automáticamente a partir de código del artículo</t>
        </r>
      </text>
    </comment>
    <comment ref="C497" authorId="2" shapeId="0" xr:uid="{2E183DB5-9BCA-491F-B118-75163312A839}">
      <text>
        <r>
          <rPr>
            <sz val="11"/>
            <color theme="1"/>
            <rFont val="Calibri"/>
            <family val="2"/>
            <scheme val="minor"/>
          </rPr>
          <t>Seleccione un valor de la lista</t>
        </r>
      </text>
    </comment>
    <comment ref="D497" authorId="2" shapeId="0" xr:uid="{52CB28F0-0C8B-449C-B4FF-0DB56BE1233E}">
      <text>
        <r>
          <rPr>
            <sz val="11"/>
            <color theme="1"/>
            <rFont val="Calibri"/>
            <family val="2"/>
            <scheme val="minor"/>
          </rPr>
          <t>Introduzca un número con dos decimales como máximo. Debe ser igual o mayor a la "Cantidad Real Consumida"</t>
        </r>
      </text>
    </comment>
    <comment ref="E497" authorId="2" shapeId="0" xr:uid="{53C98FE5-126D-4CA5-B78E-6677C06DF7C3}">
      <text>
        <r>
          <rPr>
            <sz val="11"/>
            <color theme="1"/>
            <rFont val="Calibri"/>
            <family val="2"/>
            <scheme val="minor"/>
          </rPr>
          <t>Introduzca un número con dos decimales como máximo</t>
        </r>
      </text>
    </comment>
    <comment ref="F497" authorId="2" shapeId="0" xr:uid="{EB9A0C5E-9731-42A6-836A-0501578EAE52}">
      <text>
        <r>
          <rPr>
            <sz val="11"/>
            <color theme="1"/>
            <rFont val="Calibri"/>
            <family val="2"/>
            <scheme val="minor"/>
          </rPr>
          <t>Monto calculado automáticamente por el sistema</t>
        </r>
      </text>
    </comment>
    <comment ref="A502" authorId="2" shapeId="0" xr:uid="{2E9CD2DD-3721-49D4-9451-20954B5863DF}">
      <text>
        <r>
          <rPr>
            <sz val="11"/>
            <color theme="1"/>
            <rFont val="Calibri"/>
            <family val="2"/>
            <scheme val="minor"/>
          </rPr>
          <t>Introducir un texto con el nombre o referencia de la contratación</t>
        </r>
      </text>
    </comment>
    <comment ref="B502" authorId="2" shapeId="0" xr:uid="{AF3E27B9-AE21-4EA3-B950-AA8393D9B6B5}">
      <text>
        <r>
          <rPr>
            <sz val="11"/>
            <color theme="1"/>
            <rFont val="Calibri"/>
            <family val="2"/>
            <scheme val="minor"/>
          </rPr>
          <t>Introduzca un texto con la finalidad de la contratación</t>
        </r>
      </text>
    </comment>
    <comment ref="C502" authorId="2" shapeId="0" xr:uid="{B4113D65-9053-469D-A8B7-2FE5A85E0C80}">
      <text>
        <r>
          <rPr>
            <sz val="11"/>
            <color theme="1"/>
            <rFont val="Calibri"/>
            <family val="2"/>
            <scheme val="minor"/>
          </rPr>
          <t>Seleccionar un valor del listado</t>
        </r>
      </text>
    </comment>
    <comment ref="D502" authorId="2" shapeId="0" xr:uid="{C062E493-582B-441B-B752-1F92F44AB02E}">
      <text>
        <r>
          <rPr>
            <sz val="11"/>
            <color theme="1"/>
            <rFont val="Calibri"/>
            <family val="2"/>
            <scheme val="minor"/>
          </rPr>
          <t>Seleccione el tipo de procedimiento</t>
        </r>
      </text>
    </comment>
    <comment ref="E502" authorId="2" shapeId="0" xr:uid="{73085D6D-CB53-4841-A618-1CF2EBA79F6B}">
      <text>
        <r>
          <rPr>
            <sz val="11"/>
            <color theme="1"/>
            <rFont val="Calibri"/>
            <family val="2"/>
            <scheme val="minor"/>
          </rPr>
          <t>Seleccione un valor de la lista</t>
        </r>
      </text>
    </comment>
    <comment ref="F502" authorId="2" shapeId="0" xr:uid="{62372384-ACCB-4B34-BA6D-38E1AD6AC4BF}">
      <text>
        <r>
          <rPr>
            <sz val="11"/>
            <color theme="1"/>
            <rFont val="Calibri"/>
            <family val="2"/>
            <scheme val="minor"/>
          </rPr>
          <t>Introduzca el código SNIP</t>
        </r>
      </text>
    </comment>
    <comment ref="C503" authorId="2" shapeId="0" xr:uid="{05FFFBBD-7B23-4A4D-B517-C90B897C01AB}">
      <text>
        <r>
          <rPr>
            <sz val="11"/>
            <color theme="1"/>
            <rFont val="Calibri"/>
            <family val="2"/>
            <scheme val="minor"/>
          </rPr>
          <t>Introduzca la fecha de inicio del proceso, en formato dd-mm-aaaa</t>
        </r>
      </text>
    </comment>
    <comment ref="F503" authorId="2" shapeId="0" xr:uid="{AA1C6C86-7B92-4993-986E-E5D045D8A92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4" authorId="2" shapeId="0" xr:uid="{78FEEE7C-1C8D-41C8-BC8D-8A96545571EA}">
      <text/>
    </comment>
    <comment ref="C505" authorId="2" shapeId="0" xr:uid="{0B781364-D199-4CE5-BF6F-D2A043470810}">
      <text>
        <r>
          <rPr>
            <sz val="11"/>
            <color theme="1"/>
            <rFont val="Calibri"/>
            <family val="2"/>
            <scheme val="minor"/>
          </rPr>
          <t>Introduzca la fecha prevista de adjudicación, en formato dd-mm-aaaa</t>
        </r>
      </text>
    </comment>
    <comment ref="F505" authorId="2" shapeId="0" xr:uid="{03BDCBBE-F012-4D67-A515-A5EF4452AF08}">
      <text/>
    </comment>
    <comment ref="F506" authorId="2" shapeId="0" xr:uid="{2D0AA68F-5480-4E03-BF87-C1F626144002}">
      <text/>
    </comment>
    <comment ref="A508" authorId="2" shapeId="0" xr:uid="{E47AF357-1AAA-4A93-9F8E-062A77AFC3A1}">
      <text>
        <r>
          <rPr>
            <sz val="11"/>
            <color theme="1"/>
            <rFont val="Calibri"/>
            <family val="2"/>
            <scheme val="minor"/>
          </rPr>
          <t>Introduzca un codigo UNSPSC</t>
        </r>
      </text>
    </comment>
    <comment ref="B508" authorId="2" shapeId="0" xr:uid="{25B0A82E-AEE4-4A1A-8219-C2C759D74300}">
      <text>
        <r>
          <rPr>
            <sz val="11"/>
            <color theme="1"/>
            <rFont val="Calibri"/>
            <family val="2"/>
            <scheme val="minor"/>
          </rPr>
          <t>Descripción calculada automáticamente a partir de código del artículo</t>
        </r>
      </text>
    </comment>
    <comment ref="C508" authorId="2" shapeId="0" xr:uid="{B6D4CA59-D995-438A-8333-FCDC7B897E4F}">
      <text>
        <r>
          <rPr>
            <sz val="11"/>
            <color theme="1"/>
            <rFont val="Calibri"/>
            <family val="2"/>
            <scheme val="minor"/>
          </rPr>
          <t>Seleccione un valor de la lista</t>
        </r>
      </text>
    </comment>
    <comment ref="D508" authorId="2" shapeId="0" xr:uid="{B9CAFE2D-3664-4EF5-8879-C08255CA8043}">
      <text>
        <r>
          <rPr>
            <sz val="11"/>
            <color theme="1"/>
            <rFont val="Calibri"/>
            <family val="2"/>
            <scheme val="minor"/>
          </rPr>
          <t>Introduzca un número con dos decimales como máximo. Debe ser igual o mayor a la "Cantidad Real Consumida"</t>
        </r>
      </text>
    </comment>
    <comment ref="E508" authorId="2" shapeId="0" xr:uid="{7AF51530-1B50-4EAD-B84C-21FD80C5C7A1}">
      <text>
        <r>
          <rPr>
            <sz val="11"/>
            <color theme="1"/>
            <rFont val="Calibri"/>
            <family val="2"/>
            <scheme val="minor"/>
          </rPr>
          <t>Introduzca un número con dos decimales como máximo</t>
        </r>
      </text>
    </comment>
    <comment ref="F508" authorId="2" shapeId="0" xr:uid="{6AD249BC-7DFB-400B-971C-E9CE4D778468}">
      <text>
        <r>
          <rPr>
            <sz val="11"/>
            <color theme="1"/>
            <rFont val="Calibri"/>
            <family val="2"/>
            <scheme val="minor"/>
          </rPr>
          <t>Monto calculado automáticamente por el sistema</t>
        </r>
      </text>
    </comment>
    <comment ref="A513" authorId="2" shapeId="0" xr:uid="{C6080A1E-9B3A-4772-84A8-3519E9EBAC6A}">
      <text>
        <r>
          <rPr>
            <sz val="11"/>
            <color theme="1"/>
            <rFont val="Calibri"/>
            <family val="2"/>
            <scheme val="minor"/>
          </rPr>
          <t>Introducir un texto con el nombre o referencia de la contratación</t>
        </r>
      </text>
    </comment>
    <comment ref="B513" authorId="2" shapeId="0" xr:uid="{059A32C4-FCB6-4227-97E0-8D37D66F3678}">
      <text>
        <r>
          <rPr>
            <sz val="11"/>
            <color theme="1"/>
            <rFont val="Calibri"/>
            <family val="2"/>
            <scheme val="minor"/>
          </rPr>
          <t>Introduzca un texto con la finalidad de la contratación</t>
        </r>
      </text>
    </comment>
    <comment ref="C513" authorId="2" shapeId="0" xr:uid="{A8C29B11-973E-4115-8FA9-E57188123F09}">
      <text>
        <r>
          <rPr>
            <sz val="11"/>
            <color theme="1"/>
            <rFont val="Calibri"/>
            <family val="2"/>
            <scheme val="minor"/>
          </rPr>
          <t>Seleccionar un valor del listado</t>
        </r>
      </text>
    </comment>
    <comment ref="D513" authorId="2" shapeId="0" xr:uid="{4B6C4646-9FF9-46DB-BF42-B9366683160F}">
      <text>
        <r>
          <rPr>
            <sz val="11"/>
            <color theme="1"/>
            <rFont val="Calibri"/>
            <family val="2"/>
            <scheme val="minor"/>
          </rPr>
          <t>Seleccione el tipo de procedimiento</t>
        </r>
      </text>
    </comment>
    <comment ref="E513" authorId="2" shapeId="0" xr:uid="{8CDC4A91-9814-47BF-A433-BF63CFE25BDA}">
      <text>
        <r>
          <rPr>
            <sz val="11"/>
            <color theme="1"/>
            <rFont val="Calibri"/>
            <family val="2"/>
            <scheme val="minor"/>
          </rPr>
          <t>Seleccione un valor de la lista</t>
        </r>
      </text>
    </comment>
    <comment ref="F513" authorId="2" shapeId="0" xr:uid="{FF327818-F34B-450F-9050-8DC018C833B1}">
      <text>
        <r>
          <rPr>
            <sz val="11"/>
            <color theme="1"/>
            <rFont val="Calibri"/>
            <family val="2"/>
            <scheme val="minor"/>
          </rPr>
          <t>Introduzca el código SNIP</t>
        </r>
      </text>
    </comment>
    <comment ref="C514" authorId="2" shapeId="0" xr:uid="{458FD14B-22C6-4291-9AF3-919DD79C17D6}">
      <text>
        <r>
          <rPr>
            <sz val="11"/>
            <color theme="1"/>
            <rFont val="Calibri"/>
            <family val="2"/>
            <scheme val="minor"/>
          </rPr>
          <t>Introduzca la fecha de inicio del proceso, en formato dd-mm-aaaa</t>
        </r>
      </text>
    </comment>
    <comment ref="F514" authorId="2" shapeId="0" xr:uid="{73DC20A5-9BC1-47E3-BCB4-51C008ADA67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5" authorId="2" shapeId="0" xr:uid="{E340AD85-15C3-446D-9C3F-E84EBD19A2DC}">
      <text/>
    </comment>
    <comment ref="C516" authorId="2" shapeId="0" xr:uid="{1840A0FC-2390-4CDD-8971-EF0666FAD5AD}">
      <text>
        <r>
          <rPr>
            <sz val="11"/>
            <color theme="1"/>
            <rFont val="Calibri"/>
            <family val="2"/>
            <scheme val="minor"/>
          </rPr>
          <t>Introduzca la fecha prevista de adjudicación, en formato dd-mm-aaaa</t>
        </r>
      </text>
    </comment>
    <comment ref="F516" authorId="2" shapeId="0" xr:uid="{B8B4ABCD-8EA4-49F0-AD2D-BE612C5E59B4}">
      <text/>
    </comment>
    <comment ref="F517" authorId="2" shapeId="0" xr:uid="{8F412E87-E77D-479B-962E-DCDB43FDF2B8}">
      <text/>
    </comment>
    <comment ref="A519" authorId="2" shapeId="0" xr:uid="{493AF377-63AB-4F28-9E58-F9EA74F8E79B}">
      <text>
        <r>
          <rPr>
            <sz val="11"/>
            <color theme="1"/>
            <rFont val="Calibri"/>
            <family val="2"/>
            <scheme val="minor"/>
          </rPr>
          <t>Introduzca un codigo UNSPSC</t>
        </r>
      </text>
    </comment>
    <comment ref="B519" authorId="2" shapeId="0" xr:uid="{3C60EB40-20DA-44E5-B253-239F595B0546}">
      <text>
        <r>
          <rPr>
            <sz val="11"/>
            <color theme="1"/>
            <rFont val="Calibri"/>
            <family val="2"/>
            <scheme val="minor"/>
          </rPr>
          <t>Descripción calculada automáticamente a partir de código del artículo</t>
        </r>
      </text>
    </comment>
    <comment ref="C519" authorId="2" shapeId="0" xr:uid="{A26F43F7-D0B5-4556-A60A-4B7F434DFD71}">
      <text>
        <r>
          <rPr>
            <sz val="11"/>
            <color theme="1"/>
            <rFont val="Calibri"/>
            <family val="2"/>
            <scheme val="minor"/>
          </rPr>
          <t>Seleccione un valor de la lista</t>
        </r>
      </text>
    </comment>
    <comment ref="D519" authorId="2" shapeId="0" xr:uid="{99913B37-F1DB-45D7-89E6-7183BFD5C642}">
      <text>
        <r>
          <rPr>
            <sz val="11"/>
            <color theme="1"/>
            <rFont val="Calibri"/>
            <family val="2"/>
            <scheme val="minor"/>
          </rPr>
          <t>Introduzca un número con dos decimales como máximo. Debe ser igual o mayor a la "Cantidad Real Consumida"</t>
        </r>
      </text>
    </comment>
    <comment ref="E519" authorId="2" shapeId="0" xr:uid="{F5D067A4-9B25-4A27-A9EB-989A8E70E2A6}">
      <text>
        <r>
          <rPr>
            <sz val="11"/>
            <color theme="1"/>
            <rFont val="Calibri"/>
            <family val="2"/>
            <scheme val="minor"/>
          </rPr>
          <t>Introduzca un número con dos decimales como máximo</t>
        </r>
      </text>
    </comment>
    <comment ref="F519" authorId="2" shapeId="0" xr:uid="{02F1DF4C-8D44-415B-B65A-E05830D1EB97}">
      <text>
        <r>
          <rPr>
            <sz val="11"/>
            <color theme="1"/>
            <rFont val="Calibri"/>
            <family val="2"/>
            <scheme val="minor"/>
          </rPr>
          <t>Monto calculado automáticamente por el sistema</t>
        </r>
      </text>
    </comment>
    <comment ref="A524" authorId="2" shapeId="0" xr:uid="{5D430321-5142-4707-8EA2-8C0C039F5E78}">
      <text>
        <r>
          <rPr>
            <sz val="11"/>
            <color theme="1"/>
            <rFont val="Calibri"/>
            <family val="2"/>
            <scheme val="minor"/>
          </rPr>
          <t>Introducir un texto con el nombre o referencia de la contratación</t>
        </r>
      </text>
    </comment>
    <comment ref="B524" authorId="2" shapeId="0" xr:uid="{3872A4F5-1782-4A17-98DD-6873AE54734F}">
      <text>
        <r>
          <rPr>
            <sz val="11"/>
            <color theme="1"/>
            <rFont val="Calibri"/>
            <family val="2"/>
            <scheme val="minor"/>
          </rPr>
          <t>Introduzca un texto con la finalidad de la contratación</t>
        </r>
      </text>
    </comment>
    <comment ref="C524" authorId="2" shapeId="0" xr:uid="{600E310E-9D99-41D5-8F59-CEF0BEB6368E}">
      <text>
        <r>
          <rPr>
            <sz val="11"/>
            <color theme="1"/>
            <rFont val="Calibri"/>
            <family val="2"/>
            <scheme val="minor"/>
          </rPr>
          <t>Seleccionar un valor del listado</t>
        </r>
      </text>
    </comment>
    <comment ref="D524" authorId="2" shapeId="0" xr:uid="{EEFED35D-FB5A-44AC-8E93-E6D0C38C7D6C}">
      <text>
        <r>
          <rPr>
            <sz val="11"/>
            <color theme="1"/>
            <rFont val="Calibri"/>
            <family val="2"/>
            <scheme val="minor"/>
          </rPr>
          <t>Seleccione el tipo de procedimiento</t>
        </r>
      </text>
    </comment>
    <comment ref="E524" authorId="2" shapeId="0" xr:uid="{24C5369F-8D24-4E4B-8030-084CBB2DED87}">
      <text>
        <r>
          <rPr>
            <sz val="11"/>
            <color theme="1"/>
            <rFont val="Calibri"/>
            <family val="2"/>
            <scheme val="minor"/>
          </rPr>
          <t>Seleccione un valor de la lista</t>
        </r>
      </text>
    </comment>
    <comment ref="F524" authorId="2" shapeId="0" xr:uid="{3B67E057-470F-4FDE-950D-7684DB480D2F}">
      <text>
        <r>
          <rPr>
            <sz val="11"/>
            <color theme="1"/>
            <rFont val="Calibri"/>
            <family val="2"/>
            <scheme val="minor"/>
          </rPr>
          <t>Introduzca el código SNIP</t>
        </r>
      </text>
    </comment>
    <comment ref="C525" authorId="2" shapeId="0" xr:uid="{B0F291EC-3510-4922-B8F3-849E51262F8A}">
      <text>
        <r>
          <rPr>
            <sz val="11"/>
            <color theme="1"/>
            <rFont val="Calibri"/>
            <family val="2"/>
            <scheme val="minor"/>
          </rPr>
          <t>Introduzca la fecha de inicio del proceso, en formato dd-mm-aaaa</t>
        </r>
      </text>
    </comment>
    <comment ref="F525" authorId="2" shapeId="0" xr:uid="{9E86DAE4-6465-4547-A5B3-797788BC976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6" authorId="2" shapeId="0" xr:uid="{1BBA0E16-4D30-41AE-A8C5-224453B6D424}">
      <text/>
    </comment>
    <comment ref="C527" authorId="2" shapeId="0" xr:uid="{8D947C76-8EAE-427B-BCF4-5BB9A7E3E2CC}">
      <text>
        <r>
          <rPr>
            <sz val="11"/>
            <color theme="1"/>
            <rFont val="Calibri"/>
            <family val="2"/>
            <scheme val="minor"/>
          </rPr>
          <t>Introduzca la fecha prevista de adjudicación, en formato dd-mm-aaaa</t>
        </r>
      </text>
    </comment>
    <comment ref="F527" authorId="2" shapeId="0" xr:uid="{00A05723-1A1A-4DA5-898C-1683E93F6B96}">
      <text/>
    </comment>
    <comment ref="F528" authorId="2" shapeId="0" xr:uid="{33F72FEA-B72F-45DF-AD7E-5831E821C828}">
      <text/>
    </comment>
    <comment ref="A530" authorId="2" shapeId="0" xr:uid="{FFEFDA22-40C6-4142-9008-ADA1334E2210}">
      <text>
        <r>
          <rPr>
            <sz val="11"/>
            <color theme="1"/>
            <rFont val="Calibri"/>
            <family val="2"/>
            <scheme val="minor"/>
          </rPr>
          <t>Introduzca un codigo UNSPSC</t>
        </r>
      </text>
    </comment>
    <comment ref="B530" authorId="2" shapeId="0" xr:uid="{667E8BE0-A04E-4C85-8AAD-734B285FAB9D}">
      <text>
        <r>
          <rPr>
            <sz val="11"/>
            <color theme="1"/>
            <rFont val="Calibri"/>
            <family val="2"/>
            <scheme val="minor"/>
          </rPr>
          <t>Descripción calculada automáticamente a partir de código del artículo</t>
        </r>
      </text>
    </comment>
    <comment ref="C530" authorId="2" shapeId="0" xr:uid="{76FF64DD-2AE8-41EB-AF95-92A59F72EEDC}">
      <text>
        <r>
          <rPr>
            <sz val="11"/>
            <color theme="1"/>
            <rFont val="Calibri"/>
            <family val="2"/>
            <scheme val="minor"/>
          </rPr>
          <t>Seleccione un valor de la lista</t>
        </r>
      </text>
    </comment>
    <comment ref="D530" authorId="2" shapeId="0" xr:uid="{8EBD5543-CF27-4D7F-80CC-27DD0F4FDC8F}">
      <text>
        <r>
          <rPr>
            <sz val="11"/>
            <color theme="1"/>
            <rFont val="Calibri"/>
            <family val="2"/>
            <scheme val="minor"/>
          </rPr>
          <t>Introduzca un número con dos decimales como máximo. Debe ser igual o mayor a la "Cantidad Real Consumida"</t>
        </r>
      </text>
    </comment>
    <comment ref="E530" authorId="2" shapeId="0" xr:uid="{DFE6FB64-4FE4-4AB9-8137-84C42669D5A8}">
      <text>
        <r>
          <rPr>
            <sz val="11"/>
            <color theme="1"/>
            <rFont val="Calibri"/>
            <family val="2"/>
            <scheme val="minor"/>
          </rPr>
          <t>Introduzca un número con dos decimales como máximo</t>
        </r>
      </text>
    </comment>
    <comment ref="F530" authorId="2" shapeId="0" xr:uid="{6714BCDE-968D-4829-8E7B-A01F82E93F29}">
      <text>
        <r>
          <rPr>
            <sz val="11"/>
            <color theme="1"/>
            <rFont val="Calibri"/>
            <family val="2"/>
            <scheme val="minor"/>
          </rPr>
          <t>Monto calculado automáticamente por el sistema</t>
        </r>
      </text>
    </comment>
    <comment ref="A535" authorId="2" shapeId="0" xr:uid="{AA86C795-96E4-428C-9ABB-A3345C142583}">
      <text>
        <r>
          <rPr>
            <sz val="11"/>
            <color theme="1"/>
            <rFont val="Calibri"/>
            <family val="2"/>
            <scheme val="minor"/>
          </rPr>
          <t>Introducir un texto con el nombre o referencia de la contratación</t>
        </r>
      </text>
    </comment>
    <comment ref="B535" authorId="2" shapeId="0" xr:uid="{D09178A3-C62D-4C8C-B809-EC0C5E9DD8BA}">
      <text>
        <r>
          <rPr>
            <sz val="11"/>
            <color theme="1"/>
            <rFont val="Calibri"/>
            <family val="2"/>
            <scheme val="minor"/>
          </rPr>
          <t>Introduzca un texto con la finalidad de la contratación</t>
        </r>
      </text>
    </comment>
    <comment ref="C535" authorId="2" shapeId="0" xr:uid="{9C1842C9-AC94-4A64-9021-1548553DBA70}">
      <text>
        <r>
          <rPr>
            <sz val="11"/>
            <color theme="1"/>
            <rFont val="Calibri"/>
            <family val="2"/>
            <scheme val="minor"/>
          </rPr>
          <t>Seleccionar un valor del listado</t>
        </r>
      </text>
    </comment>
    <comment ref="D535" authorId="2" shapeId="0" xr:uid="{37ADD3E9-FD06-4E74-85BC-3D4FA2C147F5}">
      <text>
        <r>
          <rPr>
            <sz val="11"/>
            <color theme="1"/>
            <rFont val="Calibri"/>
            <family val="2"/>
            <scheme val="minor"/>
          </rPr>
          <t>Seleccione el tipo de procedimiento</t>
        </r>
      </text>
    </comment>
    <comment ref="E535" authorId="2" shapeId="0" xr:uid="{5AE57D74-5036-410E-96D7-729E523469CA}">
      <text>
        <r>
          <rPr>
            <sz val="11"/>
            <color theme="1"/>
            <rFont val="Calibri"/>
            <family val="2"/>
            <scheme val="minor"/>
          </rPr>
          <t>Seleccione un valor de la lista</t>
        </r>
      </text>
    </comment>
    <comment ref="F535" authorId="2" shapeId="0" xr:uid="{28A6E06D-2230-4343-906D-B5377B7F5F5C}">
      <text>
        <r>
          <rPr>
            <sz val="11"/>
            <color theme="1"/>
            <rFont val="Calibri"/>
            <family val="2"/>
            <scheme val="minor"/>
          </rPr>
          <t>Introduzca el código SNIP</t>
        </r>
      </text>
    </comment>
    <comment ref="C536" authorId="2" shapeId="0" xr:uid="{05ECFF77-1271-4ACB-BFDA-BBAACB812FA1}">
      <text>
        <r>
          <rPr>
            <sz val="11"/>
            <color theme="1"/>
            <rFont val="Calibri"/>
            <family val="2"/>
            <scheme val="minor"/>
          </rPr>
          <t>Introduzca la fecha de inicio del proceso, en formato dd-mm-aaaa</t>
        </r>
      </text>
    </comment>
    <comment ref="F536" authorId="2" shapeId="0" xr:uid="{FCE531BB-CC59-4CFD-B12A-B48B498FE33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7" authorId="2" shapeId="0" xr:uid="{28662120-CAA3-4B43-A624-767A2ED38F8A}">
      <text/>
    </comment>
    <comment ref="C538" authorId="2" shapeId="0" xr:uid="{D50DAB16-C7F8-41BD-85B8-554ABCCD2054}">
      <text>
        <r>
          <rPr>
            <sz val="11"/>
            <color theme="1"/>
            <rFont val="Calibri"/>
            <family val="2"/>
            <scheme val="minor"/>
          </rPr>
          <t>Introduzca la fecha prevista de adjudicación, en formato dd-mm-aaaa</t>
        </r>
      </text>
    </comment>
    <comment ref="F538" authorId="2" shapeId="0" xr:uid="{2AFCCB61-F158-4961-AD03-D828B5ECEFAF}">
      <text/>
    </comment>
    <comment ref="F539" authorId="2" shapeId="0" xr:uid="{EF169DA5-7C58-4681-B5A3-A8A1710CA376}">
      <text/>
    </comment>
    <comment ref="A541" authorId="2" shapeId="0" xr:uid="{B6FE2ACB-8DE0-4AF4-BEAC-0B712188D348}">
      <text>
        <r>
          <rPr>
            <sz val="11"/>
            <color theme="1"/>
            <rFont val="Calibri"/>
            <family val="2"/>
            <scheme val="minor"/>
          </rPr>
          <t>Introduzca un codigo UNSPSC</t>
        </r>
      </text>
    </comment>
    <comment ref="B541" authorId="2" shapeId="0" xr:uid="{310875B1-2EB6-4FC4-BB79-F56078B892C6}">
      <text>
        <r>
          <rPr>
            <sz val="11"/>
            <color theme="1"/>
            <rFont val="Calibri"/>
            <family val="2"/>
            <scheme val="minor"/>
          </rPr>
          <t>Descripción calculada automáticamente a partir de código del artículo</t>
        </r>
      </text>
    </comment>
    <comment ref="C541" authorId="2" shapeId="0" xr:uid="{9D098EF5-99FC-45C3-BFBD-5085DF543403}">
      <text>
        <r>
          <rPr>
            <sz val="11"/>
            <color theme="1"/>
            <rFont val="Calibri"/>
            <family val="2"/>
            <scheme val="minor"/>
          </rPr>
          <t>Seleccione un valor de la lista</t>
        </r>
      </text>
    </comment>
    <comment ref="D541" authorId="2" shapeId="0" xr:uid="{23DDFB36-BE82-4EDF-93BB-BF00C9B4E924}">
      <text>
        <r>
          <rPr>
            <sz val="11"/>
            <color theme="1"/>
            <rFont val="Calibri"/>
            <family val="2"/>
            <scheme val="minor"/>
          </rPr>
          <t>Introduzca un número con dos decimales como máximo. Debe ser igual o mayor a la "Cantidad Real Consumida"</t>
        </r>
      </text>
    </comment>
    <comment ref="E541" authorId="2" shapeId="0" xr:uid="{922515F0-CA6F-44AD-A77F-7A8320E4262B}">
      <text>
        <r>
          <rPr>
            <sz val="11"/>
            <color theme="1"/>
            <rFont val="Calibri"/>
            <family val="2"/>
            <scheme val="minor"/>
          </rPr>
          <t>Introduzca un número con dos decimales como máximo</t>
        </r>
      </text>
    </comment>
    <comment ref="F541" authorId="2" shapeId="0" xr:uid="{C631F24F-5618-4E49-B53E-F1D8DAA2F34A}">
      <text>
        <r>
          <rPr>
            <sz val="11"/>
            <color theme="1"/>
            <rFont val="Calibri"/>
            <family val="2"/>
            <scheme val="minor"/>
          </rPr>
          <t>Monto calculado automáticamente por el sistema</t>
        </r>
      </text>
    </comment>
    <comment ref="A548" authorId="2" shapeId="0" xr:uid="{29298703-ADD2-4C88-B0F9-01004E5641F4}">
      <text>
        <r>
          <rPr>
            <sz val="11"/>
            <color theme="1"/>
            <rFont val="Calibri"/>
            <family val="2"/>
            <scheme val="minor"/>
          </rPr>
          <t>Introducir un texto con el nombre o referencia de la contratación</t>
        </r>
      </text>
    </comment>
    <comment ref="B548" authorId="2" shapeId="0" xr:uid="{5CD6B25D-FF86-40E3-A3D5-B9EEFE9B1592}">
      <text>
        <r>
          <rPr>
            <sz val="11"/>
            <color theme="1"/>
            <rFont val="Calibri"/>
            <family val="2"/>
            <scheme val="minor"/>
          </rPr>
          <t>Introduzca un texto con la finalidad de la contratación</t>
        </r>
      </text>
    </comment>
    <comment ref="C548" authorId="2" shapeId="0" xr:uid="{01A6C2B0-E033-497B-BC84-5FBA5671770D}">
      <text>
        <r>
          <rPr>
            <sz val="11"/>
            <color theme="1"/>
            <rFont val="Calibri"/>
            <family val="2"/>
            <scheme val="minor"/>
          </rPr>
          <t>Seleccionar un valor del listado</t>
        </r>
      </text>
    </comment>
    <comment ref="D548" authorId="2" shapeId="0" xr:uid="{5786652F-2F45-4418-BC4E-2AEFB3C39BFA}">
      <text>
        <r>
          <rPr>
            <sz val="11"/>
            <color theme="1"/>
            <rFont val="Calibri"/>
            <family val="2"/>
            <scheme val="minor"/>
          </rPr>
          <t>Seleccione el tipo de procedimiento</t>
        </r>
      </text>
    </comment>
    <comment ref="E548" authorId="2" shapeId="0" xr:uid="{375A7494-3DAE-4B76-92CB-B1486F50D5D3}">
      <text>
        <r>
          <rPr>
            <sz val="11"/>
            <color theme="1"/>
            <rFont val="Calibri"/>
            <family val="2"/>
            <scheme val="minor"/>
          </rPr>
          <t>Seleccione un valor de la lista</t>
        </r>
      </text>
    </comment>
    <comment ref="F548" authorId="2" shapeId="0" xr:uid="{56C4409E-972E-4711-A48D-4253FA1C29C9}">
      <text>
        <r>
          <rPr>
            <sz val="11"/>
            <color theme="1"/>
            <rFont val="Calibri"/>
            <family val="2"/>
            <scheme val="minor"/>
          </rPr>
          <t>Introduzca el código SNIP</t>
        </r>
      </text>
    </comment>
    <comment ref="C549" authorId="2" shapeId="0" xr:uid="{C8D983A1-9F3D-4C1E-A07F-E43B597C935A}">
      <text>
        <r>
          <rPr>
            <sz val="11"/>
            <color theme="1"/>
            <rFont val="Calibri"/>
            <family val="2"/>
            <scheme val="minor"/>
          </rPr>
          <t>Introduzca la fecha de inicio del proceso, en formato dd-mm-aaaa</t>
        </r>
      </text>
    </comment>
    <comment ref="F549" authorId="2" shapeId="0" xr:uid="{097EE6A0-DA59-490E-9F79-40FD7FDE822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2" shapeId="0" xr:uid="{DC0D5454-00DF-4CCD-B470-250365A018FD}">
      <text/>
    </comment>
    <comment ref="C551" authorId="2" shapeId="0" xr:uid="{3D5A8EFE-4289-45B0-9D83-130294612420}">
      <text>
        <r>
          <rPr>
            <sz val="11"/>
            <color theme="1"/>
            <rFont val="Calibri"/>
            <family val="2"/>
            <scheme val="minor"/>
          </rPr>
          <t>Introduzca la fecha prevista de adjudicación, en formato dd-mm-aaaa</t>
        </r>
      </text>
    </comment>
    <comment ref="F551" authorId="2" shapeId="0" xr:uid="{7ED7FDBD-304D-4BF4-BF25-CD0CBD6DCACF}">
      <text/>
    </comment>
    <comment ref="F552" authorId="2" shapeId="0" xr:uid="{4765BACE-73AF-4A86-BED1-E5090B6BE663}">
      <text/>
    </comment>
    <comment ref="A554" authorId="2" shapeId="0" xr:uid="{460DF197-B6AC-4294-A6BA-F6DCA7754909}">
      <text>
        <r>
          <rPr>
            <sz val="11"/>
            <color theme="1"/>
            <rFont val="Calibri"/>
            <family val="2"/>
            <scheme val="minor"/>
          </rPr>
          <t>Introduzca un codigo UNSPSC</t>
        </r>
      </text>
    </comment>
    <comment ref="B554" authorId="2" shapeId="0" xr:uid="{6D714236-D1C4-49FD-8AA7-2E9ED315B751}">
      <text>
        <r>
          <rPr>
            <sz val="11"/>
            <color theme="1"/>
            <rFont val="Calibri"/>
            <family val="2"/>
            <scheme val="minor"/>
          </rPr>
          <t>Descripción calculada automáticamente a partir de código del artículo</t>
        </r>
      </text>
    </comment>
    <comment ref="C554" authorId="2" shapeId="0" xr:uid="{292A5826-16A6-4517-8521-8DE59569C803}">
      <text>
        <r>
          <rPr>
            <sz val="11"/>
            <color theme="1"/>
            <rFont val="Calibri"/>
            <family val="2"/>
            <scheme val="minor"/>
          </rPr>
          <t>Seleccione un valor de la lista</t>
        </r>
      </text>
    </comment>
    <comment ref="D554" authorId="2" shapeId="0" xr:uid="{1BEBA3E1-53C0-4EFB-9BBF-1B694B48FD13}">
      <text>
        <r>
          <rPr>
            <sz val="11"/>
            <color theme="1"/>
            <rFont val="Calibri"/>
            <family val="2"/>
            <scheme val="minor"/>
          </rPr>
          <t>Introduzca un número con dos decimales como máximo. Debe ser igual o mayor a la "Cantidad Real Consumida"</t>
        </r>
      </text>
    </comment>
    <comment ref="E554" authorId="2" shapeId="0" xr:uid="{1243816B-ABA4-4755-B622-32792887E4ED}">
      <text>
        <r>
          <rPr>
            <sz val="11"/>
            <color theme="1"/>
            <rFont val="Calibri"/>
            <family val="2"/>
            <scheme val="minor"/>
          </rPr>
          <t>Introduzca un número con dos decimales como máximo</t>
        </r>
      </text>
    </comment>
    <comment ref="F554" authorId="2" shapeId="0" xr:uid="{860952CC-223C-48F8-B912-26FBC130589F}">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<sst xmlns="http://schemas.openxmlformats.org/spreadsheetml/2006/main" count="1229" uniqueCount="160">
  <si>
    <t xml:space="preserve">PLAN ANUAL DE COMPRAS Y CONTRATACIONES 
</t>
  </si>
  <si>
    <t>SNCC.F.069</t>
  </si>
  <si>
    <t xml:space="preserve">Capítulo </t>
  </si>
  <si>
    <t>5179</t>
  </si>
  <si>
    <t>Version: 1.0.0</t>
  </si>
  <si>
    <t>Sub Capítulo</t>
  </si>
  <si>
    <t>01</t>
  </si>
  <si>
    <t>Unidad Ejecutora</t>
  </si>
  <si>
    <t>0001</t>
  </si>
  <si>
    <t>Cantidad Procesos Registrados</t>
  </si>
  <si>
    <t xml:space="preserve">Unidad de Compra </t>
  </si>
  <si>
    <t>Servicio Geológico Nacional</t>
  </si>
  <si>
    <t>Monto Estimado Total</t>
  </si>
  <si>
    <t>Código de la Unidad de Compra</t>
  </si>
  <si>
    <t>000854</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</si>
  <si>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</si>
  <si>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</si>
  <si>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</si>
  <si>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</si>
  <si>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</si>
  <si>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</si>
  <si>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</si>
  <si>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</si>
  <si>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</si>
  <si>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Papel de Escritorio</t>
  </si>
  <si>
    <t>Para el uso del año</t>
  </si>
  <si>
    <t>Bienes</t>
  </si>
  <si>
    <t>Compras por debajo del Umbral</t>
  </si>
  <si>
    <t>Sí</t>
  </si>
  <si>
    <t>FECHA DE NECESSIDAD</t>
  </si>
  <si>
    <t>FECHA INICIO PROCESO DE COMPRA</t>
  </si>
  <si>
    <t>LUGAR DE EJECUCIÓN / ENTREGA</t>
  </si>
  <si>
    <t>Región</t>
  </si>
  <si>
    <t>TRIMESTRE</t>
  </si>
  <si>
    <t>Provincia</t>
  </si>
  <si>
    <t>FECHA PREVISTA ADJUDICACIÓN</t>
  </si>
  <si>
    <t>Municipio</t>
  </si>
  <si>
    <t>Distrito Municipal</t>
  </si>
  <si>
    <t>CÓDIGO CATÁLOGO</t>
  </si>
  <si>
    <t>ARTÍCULO</t>
  </si>
  <si>
    <t>UNIDAD DE MEDIDA</t>
  </si>
  <si>
    <t>CANTIDAD TOTAL ESTIMADA</t>
  </si>
  <si>
    <t>PRECIO UNITARIO ESTIMADO</t>
  </si>
  <si>
    <t>MONTO TOTAL ESTIMADO</t>
  </si>
  <si>
    <t>14111507</t>
  </si>
  <si>
    <t>Resma</t>
  </si>
  <si>
    <t>TOTAL COMPRA ESTIMADA</t>
  </si>
  <si>
    <t xml:space="preserve"> Productos de papel y carton</t>
  </si>
  <si>
    <t>14111704</t>
  </si>
  <si>
    <t>14111703</t>
  </si>
  <si>
    <t>14111705</t>
  </si>
  <si>
    <t>SUNIMISTRO DE OFICINA</t>
  </si>
  <si>
    <t>44122011</t>
  </si>
  <si>
    <t>44122017</t>
  </si>
  <si>
    <t>44112005</t>
  </si>
  <si>
    <t>14111526</t>
  </si>
  <si>
    <t>SUMINISTRO DE OFICINA</t>
  </si>
  <si>
    <t>Compras Menores</t>
  </si>
  <si>
    <t>44122104</t>
  </si>
  <si>
    <t>44121701</t>
  </si>
  <si>
    <t>Caja</t>
  </si>
  <si>
    <t>44121706</t>
  </si>
  <si>
    <t>44122005</t>
  </si>
  <si>
    <t>44121716</t>
  </si>
  <si>
    <t>44121804</t>
  </si>
  <si>
    <t>44101801</t>
  </si>
  <si>
    <t>44121615</t>
  </si>
  <si>
    <t>44111503</t>
  </si>
  <si>
    <t>44121618</t>
  </si>
  <si>
    <t>45101803</t>
  </si>
  <si>
    <t>14111802</t>
  </si>
  <si>
    <t>86131502</t>
  </si>
  <si>
    <t>Unidad</t>
  </si>
  <si>
    <t>11162116</t>
  </si>
  <si>
    <t>43201803</t>
  </si>
  <si>
    <t>43212110</t>
  </si>
  <si>
    <t>44101805</t>
  </si>
  <si>
    <t>31201610</t>
  </si>
  <si>
    <t>31201505</t>
  </si>
  <si>
    <t>31201512</t>
  </si>
  <si>
    <t>41111501</t>
  </si>
  <si>
    <t>44103103</t>
  </si>
  <si>
    <t>44103105</t>
  </si>
  <si>
    <t>Paquete</t>
  </si>
  <si>
    <t xml:space="preserve"> Materiales de limpieza</t>
  </si>
  <si>
    <t>47131604</t>
  </si>
  <si>
    <t>47131803</t>
  </si>
  <si>
    <t>Galón</t>
  </si>
  <si>
    <t>41121813</t>
  </si>
  <si>
    <t>12141901</t>
  </si>
  <si>
    <t>53131608</t>
  </si>
  <si>
    <t>47121701</t>
  </si>
  <si>
    <t>47131801</t>
  </si>
  <si>
    <t>46181504</t>
  </si>
  <si>
    <t>47131808</t>
  </si>
  <si>
    <t>60121134</t>
  </si>
  <si>
    <t>Alimentos y Bebidas</t>
  </si>
  <si>
    <t>50161509</t>
  </si>
  <si>
    <t>50201706</t>
  </si>
  <si>
    <t>50201714</t>
  </si>
  <si>
    <t>50131701</t>
  </si>
  <si>
    <t>50201711</t>
  </si>
  <si>
    <t>50202301</t>
  </si>
  <si>
    <t>50161511</t>
  </si>
  <si>
    <t>Boletos Aereos</t>
  </si>
  <si>
    <t>Viaje al Exterior</t>
  </si>
  <si>
    <t>Servicios</t>
  </si>
  <si>
    <t>No</t>
  </si>
  <si>
    <t>78111502</t>
  </si>
  <si>
    <t>Rparacion de Vehiculo</t>
  </si>
  <si>
    <t>Reparacion de Camioneta</t>
  </si>
  <si>
    <t>78180101</t>
  </si>
  <si>
    <t xml:space="preserve"> Productos de artes grafico </t>
  </si>
  <si>
    <t>44121506</t>
  </si>
  <si>
    <t>43202101</t>
  </si>
  <si>
    <t>43202001</t>
  </si>
  <si>
    <t>44121708</t>
  </si>
  <si>
    <t>44102801</t>
  </si>
  <si>
    <t>11101502</t>
  </si>
  <si>
    <t>41104210</t>
  </si>
  <si>
    <t>31211603</t>
  </si>
  <si>
    <t>32101603</t>
  </si>
  <si>
    <t>26111702</t>
  </si>
  <si>
    <t>MIPYME Mujeres</t>
  </si>
  <si>
    <t>50161815</t>
  </si>
  <si>
    <t>50202306</t>
  </si>
  <si>
    <t>ADQUISICIONDE NEUMATICOS 265/70 R16</t>
  </si>
  <si>
    <t>25172502</t>
  </si>
  <si>
    <t>Compra de combustible</t>
  </si>
  <si>
    <t>Para uso del año</t>
  </si>
  <si>
    <t>VIAJE AL ESTERIOR</t>
  </si>
  <si>
    <t>LAVADO DE VEHICULOS</t>
  </si>
  <si>
    <t>PARA USO DEL AÑO</t>
  </si>
  <si>
    <t>COMPRA DE COMBUSTIBLE</t>
  </si>
  <si>
    <t>USO DEL AÑO</t>
  </si>
  <si>
    <t>COMPRA DE AIRE ACONDICIONADO</t>
  </si>
  <si>
    <t>USO DE LA INSTITUCION</t>
  </si>
  <si>
    <t>COMPRA DE TALADRO</t>
  </si>
  <si>
    <t>COMPRA DE GPS</t>
  </si>
  <si>
    <t>COMPRA DE CAMIONETA</t>
  </si>
  <si>
    <t>Comparacion de Precios</t>
  </si>
  <si>
    <t>COMPRA DE ESCOPETA</t>
  </si>
  <si>
    <t>PARA USO DE LA INSTITUCION</t>
  </si>
  <si>
    <t>REPARACION DE MOBILIARIOS</t>
  </si>
  <si>
    <t>PARA USO DE ESTA INSTITUCION</t>
  </si>
  <si>
    <t>REMOZAMIENTO DE OFICINAS</t>
  </si>
  <si>
    <t>USO DE ESTA INSTITUCION</t>
  </si>
  <si>
    <t>SERVICIO DE TRANSPORTE</t>
  </si>
  <si>
    <t>REPARACION DE SILLAS EJECUTIVAS</t>
  </si>
  <si>
    <t>COMPRA DE BANDERA</t>
  </si>
  <si>
    <t>SERVICIO DE ALMUERZOS Y CENAS</t>
  </si>
  <si>
    <t>SERVICIO DE CATERIN</t>
  </si>
  <si>
    <t>ADQUISICION DE DIGITALIZADOR SISMICA</t>
  </si>
  <si>
    <t>ADQUISICION DE DIGITALIZADOR SISMICO</t>
  </si>
  <si>
    <t>PARA USO DE ESTA INSTITCION</t>
  </si>
  <si>
    <t>ADQUISICION DE MAGNETOMETO</t>
  </si>
  <si>
    <t>ADQUISICION DE EQUIPO INFORMATICO</t>
  </si>
  <si>
    <t>SERVICIO DE HOSPEDAJE</t>
  </si>
  <si>
    <t>Preparado por: Lic. Fernando González Sánchez, Depto. Administrativo y Financiero________________________</t>
  </si>
  <si>
    <t>Aprobado por: Ing. Edwin Rafael García Cocco, Director Ejecutivo______________________________________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</si>
</sst>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9" x14ac:knownFonts="1">
    <font>
      <sz val="11"/>
      <color theme="1"/>
      <name val="Calibri"/>
      <family val="2"/>
      <scheme val="minor"/>
    </font>
    <font>
      <b/>
      <sz val="12"/>
      <color theme="1"/>
      <name val="Arial Narrow"/>
      <family val="2"/>
    </font>
    <font>
      <b/>
      <sz val="8"/>
      <color theme="1"/>
      <name val="Calibri"/>
      <family val="2"/>
      <scheme val="minor"/>
    </font>
    <font>
      <sz val="8"/>
      <color theme="1"/>
      <name val="Calibri"/>
      <family val="2"/>
      <scheme val="minor"/>
    </font>
    <font>
      <b/>
      <sz val="9"/>
      <name val="Tahoma"/>
      <family val="2"/>
    </font>
    <font>
      <sz val="12"/>
      <color theme="1"/>
      <name val="Arial Narrow"/>
      <family val="2"/>
    </font>
    <font>
      <b/>
      <sz val="12"/>
      <color rgb="FF002060"/>
      <name val="Arial Narrow"/>
      <family val="2"/>
    </font>
    <font>
      <b/>
      <sz val="12"/>
      <color theme="1"/>
      <name val="Calibri"/>
      <family val="2"/>
      <scheme val="minor"/>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2" fillId="5" borderId="6">
      <alignment horizontal="center" vertical="center" wrapText="1"/>
    </xf>
    <xf numFmtId="0" fontId="2" fillId="0" borderId="6">
      <alignment horizontal="center" vertical="center"/>
    </xf>
    <xf numFmtId="0" fontId="2" fillId="5" borderId="6">
      <alignment horizontal="center" vertical="center" textRotation="90" wrapText="1"/>
    </xf>
    <xf numFmtId="0" fontId="2" fillId="6" borderId="6">
      <alignment horizontal="center" vertical="center"/>
    </xf>
    <xf numFmtId="165" fontId="2" fillId="0" borderId="6">
      <alignment horizontal="center" vertical="center"/>
    </xf>
    <xf numFmtId="0" fontId="2" fillId="6" borderId="6">
      <alignment horizontal="center" vertical="center"/>
    </xf>
    <xf numFmtId="0" fontId="2" fillId="0" borderId="6">
      <alignment horizontal="left" vertical="center"/>
    </xf>
    <xf numFmtId="0" fontId="2" fillId="0" borderId="6">
      <alignment horizontal="center" vertical="center"/>
    </xf>
    <xf numFmtId="0" fontId="2" fillId="7" borderId="6">
      <alignment horizontal="center" vertical="center"/>
    </xf>
    <xf numFmtId="0" fontId="3" fillId="8" borderId="8">
      <alignment horizontal="center" vertical="center"/>
    </xf>
    <xf numFmtId="0" fontId="3" fillId="8" borderId="8">
      <alignment horizontal="center" vertical="center" wrapText="1"/>
    </xf>
    <xf numFmtId="0" fontId="3" fillId="8" borderId="8">
      <alignment horizontal="left" vertical="center"/>
    </xf>
    <xf numFmtId="166" fontId="3" fillId="8" borderId="8">
      <alignment horizontal="center" vertical="center"/>
    </xf>
  </cellStyleXfs>
  <cellXfs count="50">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pplyProtection="1">
      <alignment vertical="center"/>
      <protection hidden="1"/>
    </xf>
    <xf numFmtId="0" fontId="5" fillId="2" borderId="0" xfId="0" applyFont="1" applyFill="1" applyAlignment="1">
      <alignment vertical="center"/>
    </xf>
    <xf numFmtId="0" fontId="1" fillId="2" borderId="2" xfId="0" applyFont="1" applyFill="1" applyBorder="1" applyAlignment="1">
      <alignment vertical="center"/>
    </xf>
    <xf numFmtId="0" fontId="1" fillId="2" borderId="0" xfId="0" applyFont="1" applyFill="1" applyAlignment="1">
      <alignment vertical="center"/>
    </xf>
    <xf numFmtId="0" fontId="6" fillId="2" borderId="0" xfId="0" applyFont="1" applyFill="1" applyAlignment="1">
      <alignment horizontal="left" vertical="center"/>
    </xf>
    <xf numFmtId="0" fontId="5" fillId="2" borderId="0" xfId="0" applyFont="1" applyFill="1" applyAlignment="1" applyProtection="1">
      <alignment vertical="center"/>
      <protection hidden="1"/>
    </xf>
    <xf numFmtId="0" fontId="5" fillId="2" borderId="3" xfId="0" applyFont="1" applyFill="1" applyBorder="1" applyAlignment="1" applyProtection="1">
      <alignment vertical="center"/>
      <protection hidden="1"/>
    </xf>
    <xf numFmtId="38" fontId="1" fillId="3" borderId="4" xfId="0" applyNumberFormat="1" applyFont="1" applyFill="1" applyBorder="1" applyAlignment="1">
      <alignment vertical="center" wrapText="1"/>
    </xf>
    <xf numFmtId="0" fontId="6" fillId="2" borderId="0" xfId="0" applyFont="1" applyFill="1" applyAlignment="1">
      <alignment vertical="center"/>
    </xf>
    <xf numFmtId="0" fontId="1" fillId="4" borderId="4" xfId="0" applyFont="1" applyFill="1" applyBorder="1" applyAlignment="1">
      <alignment horizontal="left" vertical="center"/>
    </xf>
    <xf numFmtId="0" fontId="7" fillId="0" borderId="6" xfId="0" applyFont="1" applyBorder="1" applyAlignment="1">
      <alignment vertical="center"/>
    </xf>
    <xf numFmtId="0" fontId="1" fillId="4" borderId="7" xfId="0" applyFont="1" applyFill="1" applyBorder="1" applyAlignment="1">
      <alignment horizontal="left" vertical="center"/>
    </xf>
    <xf numFmtId="164" fontId="7" fillId="0" borderId="6" xfId="0" applyNumberFormat="1" applyFont="1" applyBorder="1" applyAlignment="1">
      <alignment vertical="center"/>
    </xf>
    <xf numFmtId="0" fontId="5" fillId="2" borderId="2" xfId="0" applyFont="1" applyFill="1" applyBorder="1" applyAlignment="1" applyProtection="1">
      <alignment vertical="center"/>
      <protection hidden="1"/>
    </xf>
    <xf numFmtId="0" fontId="5" fillId="0" borderId="0" xfId="0" applyFont="1" applyAlignment="1">
      <alignment vertical="center"/>
    </xf>
    <xf numFmtId="0" fontId="7" fillId="5" borderId="6" xfId="1" applyFont="1">
      <alignment horizontal="center" vertical="center" wrapText="1"/>
    </xf>
    <xf numFmtId="0" fontId="7" fillId="0" borderId="6" xfId="2" applyFont="1" applyProtection="1">
      <alignment horizontal="center" vertical="center"/>
      <protection locked="0"/>
    </xf>
    <xf numFmtId="0" fontId="7" fillId="6" borderId="6" xfId="4" applyFont="1">
      <alignment horizontal="center" vertical="center"/>
    </xf>
    <xf numFmtId="165" fontId="7" fillId="0" borderId="6" xfId="5" applyFont="1" applyProtection="1">
      <alignment horizontal="center" vertical="center"/>
      <protection locked="0"/>
    </xf>
    <xf numFmtId="0" fontId="7" fillId="6" borderId="6" xfId="6" applyFont="1">
      <alignment horizontal="center" vertical="center"/>
    </xf>
    <xf numFmtId="0" fontId="7" fillId="0" borderId="6" xfId="7" applyFont="1" applyProtection="1">
      <alignment horizontal="left" vertical="center"/>
      <protection locked="0"/>
    </xf>
    <xf numFmtId="0" fontId="7" fillId="0" borderId="6" xfId="2" applyFont="1">
      <alignment horizontal="center" vertical="center"/>
    </xf>
    <xf numFmtId="0" fontId="7" fillId="0" borderId="6" xfId="8" applyFont="1">
      <alignment horizontal="center" vertical="center"/>
    </xf>
    <xf numFmtId="0" fontId="7" fillId="7" borderId="6" xfId="9" applyFont="1">
      <alignment horizontal="center" vertical="center"/>
    </xf>
    <xf numFmtId="0" fontId="8" fillId="8" borderId="8" xfId="10" applyFont="1" applyProtection="1">
      <alignment horizontal="center" vertical="center"/>
      <protection locked="0"/>
    </xf>
    <xf numFmtId="0" fontId="8" fillId="8" borderId="8" xfId="11" applyFont="1">
      <alignment horizontal="center" vertical="center" wrapText="1"/>
    </xf>
    <xf numFmtId="0" fontId="8" fillId="8" borderId="8" xfId="12" applyFont="1" applyProtection="1">
      <alignment horizontal="left" vertical="center"/>
      <protection locked="0"/>
    </xf>
    <xf numFmtId="166" fontId="8" fillId="8" borderId="8" xfId="13" applyFont="1" applyProtection="1">
      <alignment horizontal="center" vertical="center"/>
      <protection locked="0"/>
    </xf>
    <xf numFmtId="166" fontId="8" fillId="8" borderId="8" xfId="13" applyFont="1">
      <alignment horizontal="center" vertical="center"/>
    </xf>
    <xf numFmtId="0" fontId="7" fillId="7" borderId="8" xfId="9" applyFont="1" applyBorder="1">
      <alignment horizontal="center" vertical="center"/>
    </xf>
    <xf numFmtId="166" fontId="8" fillId="7" borderId="8" xfId="13" applyFont="1" applyFill="1">
      <alignment horizontal="center" vertical="center"/>
    </xf>
    <xf numFmtId="14" fontId="7" fillId="0" borderId="6" xfId="5" applyNumberFormat="1" applyFont="1" applyProtection="1">
      <alignment horizontal="center" vertical="center"/>
      <protection locked="0"/>
    </xf>
    <xf numFmtId="0" fontId="8" fillId="0" borderId="0" xfId="0" applyFont="1"/>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5" fillId="0" borderId="0" xfId="0" applyFont="1" applyAlignment="1" applyProtection="1">
      <alignment horizontal="center" vertical="center"/>
      <protection hidden="1"/>
    </xf>
    <xf numFmtId="0" fontId="1" fillId="3" borderId="0" xfId="0" applyFont="1" applyFill="1" applyAlignment="1">
      <alignment horizontal="center" vertical="top" wrapText="1"/>
    </xf>
    <xf numFmtId="0" fontId="1" fillId="3" borderId="0" xfId="0" applyFont="1" applyFill="1" applyAlignment="1">
      <alignment horizontal="center" vertical="center" wrapText="1"/>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0" fontId="7" fillId="5" borderId="6" xfId="3" applyFont="1">
      <alignment horizontal="center" vertical="center" textRotation="90" wrapText="1"/>
    </xf>
    <xf numFmtId="0" fontId="7" fillId="0" borderId="6" xfId="2" applyFont="1">
      <alignment horizontal="center" vertical="center"/>
    </xf>
    <xf numFmtId="0" fontId="7" fillId="0" borderId="0" xfId="0" applyFont="1" applyAlignment="1">
      <alignment horizontal="left"/>
    </xf>
  </cellXfs>
  <cellStyles count="14">
    <cellStyle name="ArticleBody" xfId="10" xr:uid="{6D3269C6-49EB-41CB-BA3A-4FAE2ED00C65}"/>
    <cellStyle name="ArticleBody_currency" xfId="13" xr:uid="{4CFC3434-9A15-4604-9B9F-07BBDE528D86}"/>
    <cellStyle name="ArticleBody_text" xfId="12" xr:uid="{99E8F8A3-8454-464C-A522-65735F5325FD}"/>
    <cellStyle name="ArticleBody_UNSCPCDescription" xfId="11" xr:uid="{FF60F66A-826D-4802-ADF9-F42939EAF87F}"/>
    <cellStyle name="ArticleHeader" xfId="9" xr:uid="{3AF68F8E-C369-4E8E-A97B-12B3E7BAFFDB}"/>
    <cellStyle name="Normal" xfId="0" builtinId="0"/>
    <cellStyle name="ProcessBody" xfId="2" xr:uid="{B5FDB63B-552E-4B18-B629-7953784C053D}"/>
    <cellStyle name="ProcessBody_address" xfId="7" xr:uid="{155F2486-1589-431C-BDC6-4B7203CB7D7A}"/>
    <cellStyle name="ProcessBody_datetime" xfId="5" xr:uid="{34BA9CF4-36F5-4EC4-A8E9-CEB85C7F643F}"/>
    <cellStyle name="ProcessBody_number" xfId="8" xr:uid="{57B42395-5A82-459F-9A40-852B342812F7}"/>
    <cellStyle name="ProcessHeader" xfId="1" xr:uid="{AAD52B26-72F5-47F3-A5A5-1ED01A67EF3A}"/>
    <cellStyle name="ProcessHeader_vertical" xfId="3" xr:uid="{2E8387D1-EA2B-4800-9A68-B899AE59018E}"/>
    <cellStyle name="ProcessSubHeader" xfId="4" xr:uid="{15E4D952-E6ED-418F-A501-7DE2D2703CE4}"/>
    <cellStyle name="ProcessSubHeader_lugar" xfId="6" xr:uid="{568B0491-5074-430C-8FDA-CB9576581A75}"/>
  </cellStyles>
  <dxfs count="288">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31173</xdr:colOff>
      <xdr:row>0</xdr:row>
      <xdr:rowOff>153266</xdr:rowOff>
    </xdr:from>
    <xdr:to>
      <xdr:col>0</xdr:col>
      <xdr:colOff>1657350</xdr:colOff>
      <xdr:row>4</xdr:row>
      <xdr:rowOff>866</xdr:rowOff>
    </xdr:to>
    <xdr:pic>
      <xdr:nvPicPr>
        <xdr:cNvPr id="2" name="Picture 4">
          <a:extLst>
            <a:ext uri="{FF2B5EF4-FFF2-40B4-BE49-F238E27FC236}">
              <a16:creationId xmlns:a16="http://schemas.microsoft.com/office/drawing/2014/main" id="{FDA162C0-9F51-480A-A06B-D16EE6A2D981}"/>
            </a:ext>
          </a:extLst>
        </xdr:cNvPr>
        <xdr:cNvPicPr>
          <a:picLocks noChangeAspect="1"/>
        </xdr:cNvPicPr>
      </xdr:nvPicPr>
      <xdr:blipFill>
        <a:blip xmlns:r="http://schemas.openxmlformats.org/officeDocument/2006/relationships" r:embed="rId1"/>
        <a:stretch>
          <a:fillRect/>
        </a:stretch>
      </xdr:blipFill>
      <xdr:spPr bwMode="auto">
        <a:xfrm>
          <a:off x="31173" y="153266"/>
          <a:ext cx="1626177" cy="65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1304925</xdr:colOff>
      <xdr:row>0</xdr:row>
      <xdr:rowOff>57150</xdr:rowOff>
    </xdr:from>
    <xdr:to>
      <xdr:col>6</xdr:col>
      <xdr:colOff>133350</xdr:colOff>
      <xdr:row>4</xdr:row>
      <xdr:rowOff>239203</xdr:rowOff>
    </xdr:to>
    <xdr:pic>
      <xdr:nvPicPr>
        <xdr:cNvPr id="3" name="Picture 5">
          <a:extLst>
            <a:ext uri="{FF2B5EF4-FFF2-40B4-BE49-F238E27FC236}">
              <a16:creationId xmlns:a16="http://schemas.microsoft.com/office/drawing/2014/main" id="{3D01FA70-0D0D-4315-931F-C5A0A8CFA292}"/>
            </a:ext>
          </a:extLst>
        </xdr:cNvPr>
        <xdr:cNvPicPr>
          <a:picLocks noChangeAspect="1"/>
        </xdr:cNvPicPr>
      </xdr:nvPicPr>
      <xdr:blipFill>
        <a:blip xmlns:r="http://schemas.openxmlformats.org/officeDocument/2006/relationships" r:embed="rId2"/>
        <a:stretch>
          <a:fillRect/>
        </a:stretch>
      </xdr:blipFill>
      <xdr:spPr>
        <a:xfrm>
          <a:off x="7353300" y="57150"/>
          <a:ext cx="847725" cy="99167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N-OAI/AppData/Local/Microsoft/Windows/INetCache/Content.Outlook/QS43TKI9/PACC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E944F7-3E4C-4E95-982A-24731AA69E38}" name="Table18" displayName="Table18" ref="A252:F264" totalsRowShown="0" headerRowDxfId="287" dataDxfId="286">
  <tableColumns count="6">
    <tableColumn id="1" xr3:uid="{65FE8802-87BF-4B98-9772-B872DEC9ED75}" name="CÓDIGO CATÁLOGO" dataDxfId="285"/>
    <tableColumn id="2" xr3:uid="{6BE9E570-ABFE-4AA4-B565-2D6973B94735}" name="ARTÍCULO" dataDxfId="284"/>
    <tableColumn id="3" xr3:uid="{2ED7F514-1075-4870-A07D-73514920BE2A}" name="UNIDAD DE MEDIDA" dataDxfId="283"/>
    <tableColumn id="4" xr3:uid="{9BE80AB7-C72B-42CE-9D80-11342B9570EC}" name="CANTIDAD TOTAL ESTIMADA" dataDxfId="282"/>
    <tableColumn id="5" xr3:uid="{A2D438A8-5956-409F-8AC2-A3C5691266C7}" name="PRECIO UNITARIO ESTIMADO" dataDxfId="281"/>
    <tableColumn id="6" xr3:uid="{DF7A359A-2ADB-41EF-8875-711FB8D83CD8}" name="MONTO TOTAL ESTIMADO" dataDxfId="280">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0B1610-E40B-4A9F-9177-5804FFA8C8FC}" name="Table20" displayName="Table20" ref="A294:F295" totalsRowShown="0" headerRowDxfId="215" dataDxfId="214">
  <tableColumns count="6">
    <tableColumn id="1" xr3:uid="{2D76E8FC-903F-4890-B98F-055D78C18E93}" name="CÓDIGO CATÁLOGO" dataDxfId="213"/>
    <tableColumn id="2" xr3:uid="{00BC7C9C-2388-4BF9-B7BA-6836FA8EA5CB}" name="ARTÍCULO" dataDxfId="212">
      <calculatedColumnFormula>IFERROR(INDEX(UNSPSCDes,MATCH(INDIRECT(ADDRESS(ROW(),COLUMN()-1,4)),UNSPSCCode,0)),IF(INDIRECT(ADDRESS(ROW(),COLUMN()-1,4))="25172502","Neumático para llantas de automóviles",""))</calculatedColumnFormula>
    </tableColumn>
    <tableColumn id="3" xr3:uid="{02CDD02A-0CEF-4A18-B3C9-7C8DE6AF0537}" name="UNIDAD DE MEDIDA" dataDxfId="211">
      <calculatedColumnFormula>IFERROR(VLOOKUP("UD",'[1]Informacion '!P:Q,2,FALSE),"")</calculatedColumnFormula>
    </tableColumn>
    <tableColumn id="4" xr3:uid="{9BC62526-392A-4415-B93C-04FCADA17674}" name="CANTIDAD TOTAL ESTIMADA" dataDxfId="210"/>
    <tableColumn id="5" xr3:uid="{13891668-BBB5-4F50-89FE-CBC0158812E0}" name="PRECIO UNITARIO ESTIMADO" dataDxfId="209"/>
    <tableColumn id="6" xr3:uid="{9E81BF55-C7A8-4BA0-B21F-362653A74068}" name="MONTO TOTAL ESTIMADO" dataDxfId="208">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A282085-4750-448E-8C52-5AAE2B8E4498}" name="Table9" displayName="Table9" ref="A141:F150" totalsRowShown="0" headerRowDxfId="207" dataDxfId="206">
  <tableColumns count="6">
    <tableColumn id="1" xr3:uid="{DDAF41AF-2E23-49C3-A40E-38DEF6E95E33}" name="CÓDIGO CATÁLOGO" dataDxfId="205"/>
    <tableColumn id="2" xr3:uid="{6086EB8E-B23E-4857-B5A8-876E5CC45328}" name="ARTÍCULO" dataDxfId="204"/>
    <tableColumn id="3" xr3:uid="{BD3C8D74-057C-43D6-9A77-C5B211B93391}" name="UNIDAD DE MEDIDA" dataDxfId="203"/>
    <tableColumn id="4" xr3:uid="{1B3CCBD7-FFE9-4021-A5AC-822D9297C4D0}" name="CANTIDAD TOTAL ESTIMADA" dataDxfId="202"/>
    <tableColumn id="5" xr3:uid="{354347AA-C46B-405C-84C9-C65056485FFC}" name="PRECIO UNITARIO ESTIMADO" dataDxfId="201"/>
    <tableColumn id="6" xr3:uid="{3F26A872-C35D-4AB5-9EF7-301942B19E3A}" name="MONTO TOTAL ESTIMADO" dataDxfId="200">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4E03494-7CEE-4B11-A1FE-46E6E853E899}" name="Table6" displayName="Table6" ref="A47:F53" totalsRowShown="0" headerRowDxfId="199" dataDxfId="198">
  <tableColumns count="6">
    <tableColumn id="1" xr3:uid="{5DEAE3D7-DDBA-4E95-9586-47376E0519F0}" name="CÓDIGO CATÁLOGO" dataDxfId="197"/>
    <tableColumn id="2" xr3:uid="{878EAAD6-8210-4320-8ADD-7FD49619D0EA}" name="ARTÍCULO" dataDxfId="196"/>
    <tableColumn id="3" xr3:uid="{B20E6944-982B-4A8A-AF50-A2C270D7FDCE}" name="UNIDAD DE MEDIDA" dataDxfId="195"/>
    <tableColumn id="4" xr3:uid="{34F3C8CE-16AD-4006-8300-68BF3D5B823A}" name="CANTIDAD TOTAL ESTIMADA" dataDxfId="194"/>
    <tableColumn id="5" xr3:uid="{775AAACC-CC72-4FE4-A86A-9B881BAC0D8C}" name="PRECIO UNITARIO ESTIMADO" dataDxfId="193"/>
    <tableColumn id="6" xr3:uid="{A1D3F2AD-2F5C-440A-A3B4-B03D672545F8}" name="MONTO TOTAL ESTIMADO" dataDxfId="192">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7130213-9B89-4090-ACC9-4DE86A98D29E}" name="Table7" displayName="Table7" ref="A63:F109" totalsRowShown="0" headerRowDxfId="191" dataDxfId="190">
  <tableColumns count="6">
    <tableColumn id="1" xr3:uid="{39D2B24E-6978-4C3C-9B06-E137A0496475}" name="CÓDIGO CATÁLOGO" dataDxfId="189"/>
    <tableColumn id="2" xr3:uid="{10F6D4C1-89D1-41B5-A900-956273C54ECA}" name="ARTÍCULO" dataDxfId="188"/>
    <tableColumn id="3" xr3:uid="{965B892F-7CD2-49D2-B93C-AD09E2D18ACF}" name="UNIDAD DE MEDIDA" dataDxfId="187"/>
    <tableColumn id="4" xr3:uid="{F1E1B1B1-6CDF-4739-8D73-C91248D228E2}" name="CANTIDAD TOTAL ESTIMADA" dataDxfId="186"/>
    <tableColumn id="5" xr3:uid="{B046AF19-186B-4987-B54E-DFC4CD5D1CCE}" name="PRECIO UNITARIO ESTIMADO" dataDxfId="185"/>
    <tableColumn id="6" xr3:uid="{EAE2360A-A814-44CE-AD12-CD8376DE3821}" name="MONTO TOTAL ESTIMADO" dataDxfId="184">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498E408-AE68-41AD-8749-24FD6E893819}" name="Table32" displayName="Table32" ref="A305:F308" totalsRowShown="0" headerRowDxfId="183" dataDxfId="182">
  <autoFilter ref="A305:F308" xr:uid="{B498E408-AE68-41AD-8749-24FD6E893819}"/>
  <tableColumns count="6">
    <tableColumn id="1" xr3:uid="{3D904562-3C51-42E2-9913-0D34A16AC9CE}" name="CÓDIGO CATÁLOGO" dataDxfId="181"/>
    <tableColumn id="2" xr3:uid="{B6824926-87E3-4CDE-92B9-FC6BC824AD8B}" name="ARTÍCULO" dataDxfId="180">
      <calculatedColumnFormula>IFERROR(INDEX(UNSPSCDes,MATCH(INDIRECT(ADDRESS(ROW(),COLUMN()-1,4)),UNSPSCCode,0)),"")</calculatedColumnFormula>
    </tableColumn>
    <tableColumn id="3" xr3:uid="{A36C561F-4B75-4B61-9576-718BC0148998}" name="UNIDAD DE MEDIDA" dataDxfId="179"/>
    <tableColumn id="4" xr3:uid="{B6211A7F-624B-42ED-B096-CCC88BBC0A9A}" name="CANTIDAD TOTAL ESTIMADA" dataDxfId="178"/>
    <tableColumn id="5" xr3:uid="{E68DAAC1-99EB-444E-B3AA-B685419C270A}" name="PRECIO UNITARIO ESTIMADO" dataDxfId="177"/>
    <tableColumn id="6" xr3:uid="{9CD00F81-371D-4BF8-8147-BE5538A16C69}" name="MONTO TOTAL ESTIMADO" dataDxfId="176">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E0182F2-EF51-49CA-B305-521BC3D02FCF}" name="Table33" displayName="Table33" ref="A318:F319" totalsRowShown="0" headerRowDxfId="175" dataDxfId="174">
  <autoFilter ref="A318:F319" xr:uid="{7E0182F2-EF51-49CA-B305-521BC3D02FCF}"/>
  <tableColumns count="6">
    <tableColumn id="1" xr3:uid="{C3650C8D-CF8F-49FD-9702-D08BA81B7F40}" name="CÓDIGO CATÁLOGO" dataDxfId="173"/>
    <tableColumn id="2" xr3:uid="{70CE7F28-8D4E-4917-B85F-EF801CBBC157}" name="ARTÍCULO" dataDxfId="172">
      <calculatedColumnFormula>IFERROR(INDEX(UNSPSCDes,MATCH(INDIRECT(ADDRESS(ROW(),COLUMN()-1,4)),UNSPSCCode,0)),"")</calculatedColumnFormula>
    </tableColumn>
    <tableColumn id="3" xr3:uid="{E36B76CC-361D-4ED3-97C5-ABEDB703410F}" name="UNIDAD DE MEDIDA" dataDxfId="171"/>
    <tableColumn id="4" xr3:uid="{B51CCE8B-E9BE-400A-9DD3-2096B77270D8}" name="CANTIDAD TOTAL ESTIMADA" dataDxfId="170"/>
    <tableColumn id="5" xr3:uid="{15255369-F2DB-4BAD-8DEB-5E7CF959B0C9}" name="PRECIO UNITARIO ESTIMADO" dataDxfId="169"/>
    <tableColumn id="6" xr3:uid="{F7638BBD-254F-457D-814D-D46802573B5B}" name="MONTO TOTAL ESTIMADO" dataDxfId="168">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47ED782-5222-4619-A43C-512B67B6146F}" name="Table312" displayName="Table312" ref="A329:F330" totalsRowShown="0" headerRowDxfId="167" dataDxfId="166">
  <autoFilter ref="A329:F330" xr:uid="{347ED782-5222-4619-A43C-512B67B6146F}"/>
  <tableColumns count="6">
    <tableColumn id="1" xr3:uid="{5062888D-867D-4A70-8555-70E3043B2F9F}" name="CÓDIGO CATÁLOGO" dataDxfId="165"/>
    <tableColumn id="2" xr3:uid="{34B92E63-6A30-4C73-A4DA-AA64EAD5B00A}" name="ARTÍCULO" dataDxfId="164">
      <calculatedColumnFormula>IFERROR(INDEX(UNSPSCDes,MATCH(INDIRECT(ADDRESS(ROW(),COLUMN()-1,4)),UNSPSCCode,0)),"")</calculatedColumnFormula>
    </tableColumn>
    <tableColumn id="3" xr3:uid="{CC31BB5A-F13F-4AC5-A90F-FD5B94F7548E}" name="UNIDAD DE MEDIDA" dataDxfId="163"/>
    <tableColumn id="4" xr3:uid="{E9DA8DA0-9DDF-4547-8840-B5D8AF26D14F}" name="CANTIDAD TOTAL ESTIMADA" dataDxfId="162"/>
    <tableColumn id="5" xr3:uid="{C6993520-9835-4F30-93EB-755AB19BB7D2}" name="PRECIO UNITARIO ESTIMADO" dataDxfId="161"/>
    <tableColumn id="6" xr3:uid="{3BBF9961-4EF8-4289-99FA-9D7737757870}" name="MONTO TOTAL ESTIMADO" dataDxfId="160">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6AAE7DD-FD0F-4750-BD5A-CB85B974E696}" name="Table314" displayName="Table314" ref="A340:F343" totalsRowShown="0" headerRowDxfId="159" dataDxfId="158">
  <autoFilter ref="A340:F343" xr:uid="{F6AAE7DD-FD0F-4750-BD5A-CB85B974E696}"/>
  <tableColumns count="6">
    <tableColumn id="1" xr3:uid="{B04D1C93-478F-4C20-B01E-7C1529F680AA}" name="CÓDIGO CATÁLOGO" dataDxfId="157"/>
    <tableColumn id="2" xr3:uid="{17D983A9-6401-4579-8E0F-E336BEC0401A}" name="ARTÍCULO" dataDxfId="156">
      <calculatedColumnFormula>IFERROR(INDEX(UNSPSCDes,MATCH(INDIRECT(ADDRESS(ROW(),COLUMN()-1,4)),UNSPSCCode,0)),"")</calculatedColumnFormula>
    </tableColumn>
    <tableColumn id="3" xr3:uid="{6C94D085-A17D-4DAD-BE71-E8F453E1880E}" name="UNIDAD DE MEDIDA" dataDxfId="155"/>
    <tableColumn id="4" xr3:uid="{23200D84-00FB-4608-96CC-A09AED21ECCD}" name="CANTIDAD TOTAL ESTIMADA" dataDxfId="154"/>
    <tableColumn id="5" xr3:uid="{04E4E776-E7BF-4F48-BBCD-197AB064F916}" name="PRECIO UNITARIO ESTIMADO" dataDxfId="153"/>
    <tableColumn id="6" xr3:uid="{6DB87C3A-0A42-4994-9C3E-5B17C0C00D15}" name="MONTO TOTAL ESTIMADO" dataDxfId="152">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5C3D6A3-4BA9-45F6-96F4-974E2570857B}" name="Table322" displayName="Table322" ref="A353:F354" totalsRowShown="0" headerRowDxfId="151" dataDxfId="150">
  <autoFilter ref="A353:F354" xr:uid="{F5C3D6A3-4BA9-45F6-96F4-974E2570857B}"/>
  <tableColumns count="6">
    <tableColumn id="1" xr3:uid="{A4DE7169-C0F5-4663-9336-48F12637EE52}" name="CÓDIGO CATÁLOGO" dataDxfId="149"/>
    <tableColumn id="2" xr3:uid="{C55AEEDD-FC3F-48C1-AD0C-3CBD666CCDF0}" name="ARTÍCULO" dataDxfId="148">
      <calculatedColumnFormula>IFERROR(INDEX(UNSPSCDes,MATCH(INDIRECT(ADDRESS(ROW(),COLUMN()-1,4)),UNSPSCCode,0)),"")</calculatedColumnFormula>
    </tableColumn>
    <tableColumn id="3" xr3:uid="{5E3F9721-CAD8-4AE0-90FB-00F3408C8CC1}" name="UNIDAD DE MEDIDA" dataDxfId="147"/>
    <tableColumn id="4" xr3:uid="{81E6D46D-3F6B-4FC9-A986-F9ECEDA3EF92}" name="CANTIDAD TOTAL ESTIMADA" dataDxfId="146"/>
    <tableColumn id="5" xr3:uid="{E9EF38B5-7B16-42A4-8784-FFA38487079D}" name="PRECIO UNITARIO ESTIMADO" dataDxfId="145"/>
    <tableColumn id="6" xr3:uid="{23DDFD6A-2E65-4ABA-9384-99124AF8284F}" name="MONTO TOTAL ESTIMADO" dataDxfId="144">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383627C-B4B7-4B42-9CC2-F1AE0478ADCF}" name="Table323" displayName="Table323" ref="A364:F365" totalsRowShown="0" headerRowDxfId="143" dataDxfId="142">
  <autoFilter ref="A364:F365" xr:uid="{7383627C-B4B7-4B42-9CC2-F1AE0478ADCF}"/>
  <tableColumns count="6">
    <tableColumn id="1" xr3:uid="{E2B93F6B-7C4F-498D-A14F-5FC9A2706417}" name="CÓDIGO CATÁLOGO" dataDxfId="141"/>
    <tableColumn id="2" xr3:uid="{BDDC9D20-690D-4AF7-BF99-380F69D8F960}" name="ARTÍCULO" dataDxfId="140">
      <calculatedColumnFormula>IFERROR(INDEX(UNSPSCDes,MATCH(INDIRECT(ADDRESS(ROW(),COLUMN()-1,4)),UNSPSCCode,0)),"")</calculatedColumnFormula>
    </tableColumn>
    <tableColumn id="3" xr3:uid="{1F324FB6-6304-4458-8153-0F8823FF8570}" name="UNIDAD DE MEDIDA" dataDxfId="139"/>
    <tableColumn id="4" xr3:uid="{7BA4F27B-E82A-4D51-8DB4-98E7EC3FF180}" name="CANTIDAD TOTAL ESTIMADA" dataDxfId="138"/>
    <tableColumn id="5" xr3:uid="{F0B94D9E-CCCC-46B4-8972-2E134E18F355}" name="PRECIO UNITARIO ESTIMADO" dataDxfId="137"/>
    <tableColumn id="6" xr3:uid="{7E191A71-01D5-42DE-AA27-7CF7F88FC2BD}" name="MONTO TOTAL ESTIMADO" dataDxfId="136">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B28F24-1292-4E23-AD26-ECC4FDE42506}" name="Table19" displayName="Table19" ref="A274:F284" totalsRowShown="0" headerRowDxfId="279" dataDxfId="278">
  <tableColumns count="6">
    <tableColumn id="1" xr3:uid="{4DF9F729-5C85-4407-B085-80680F7EC934}" name="CÓDIGO CATÁLOGO" dataDxfId="277"/>
    <tableColumn id="2" xr3:uid="{BF3234C2-F553-4A52-A7B7-9195F911CC3B}" name="ARTÍCULO" dataDxfId="276"/>
    <tableColumn id="3" xr3:uid="{8D6F8C7B-8CC9-4B2D-8555-AB95305D7336}" name="UNIDAD DE MEDIDA" dataDxfId="275"/>
    <tableColumn id="4" xr3:uid="{BB3A6C84-FD19-4206-BA3E-C5EF6F72724B}" name="CANTIDAD TOTAL ESTIMADA" dataDxfId="274"/>
    <tableColumn id="5" xr3:uid="{037C90A8-1EB1-4EA7-83B1-4F7D469846A1}" name="PRECIO UNITARIO ESTIMADO" dataDxfId="273"/>
    <tableColumn id="6" xr3:uid="{078F6269-5CDD-4BD1-BAA7-22926F72B64B}" name="MONTO TOTAL ESTIMADO" dataDxfId="272">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2AAA8E9-901A-4902-A825-529FD73BD5B2}" name="Table324" displayName="Table324" ref="A375:F376" totalsRowShown="0" headerRowDxfId="135" dataDxfId="134">
  <autoFilter ref="A375:F376" xr:uid="{02AAA8E9-901A-4902-A825-529FD73BD5B2}"/>
  <tableColumns count="6">
    <tableColumn id="1" xr3:uid="{9B84A74A-F3A9-452B-BC3A-EC24B61E739D}" name="CÓDIGO CATÁLOGO" dataDxfId="133"/>
    <tableColumn id="2" xr3:uid="{76B1BA95-BC50-45FB-B7C1-A55469B1FEBF}" name="ARTÍCULO" dataDxfId="132">
      <calculatedColumnFormula>IFERROR(INDEX(UNSPSCDes,MATCH(INDIRECT(ADDRESS(ROW(),COLUMN()-1,4)),UNSPSCCode,0)),"")</calculatedColumnFormula>
    </tableColumn>
    <tableColumn id="3" xr3:uid="{9ECFD8FE-20EE-4375-908F-44312CE848D2}" name="UNIDAD DE MEDIDA" dataDxfId="131"/>
    <tableColumn id="4" xr3:uid="{08F6F7FC-66FB-4B4B-A52E-548BFDF23C29}" name="CANTIDAD TOTAL ESTIMADA" dataDxfId="130"/>
    <tableColumn id="5" xr3:uid="{184A2474-1B26-4899-85EF-2C1B8FA82ED2}" name="PRECIO UNITARIO ESTIMADO" dataDxfId="129"/>
    <tableColumn id="6" xr3:uid="{73C7A0E8-8384-44C6-BAE8-CF9B8DAFD340}" name="MONTO TOTAL ESTIMADO" dataDxfId="128">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BEDFB2E-2309-425C-8E06-AD917203D577}" name="Table325" displayName="Table325" ref="A386:F387" totalsRowShown="0" headerRowDxfId="127" dataDxfId="126">
  <autoFilter ref="A386:F387" xr:uid="{3BEDFB2E-2309-425C-8E06-AD917203D577}"/>
  <tableColumns count="6">
    <tableColumn id="1" xr3:uid="{3259F881-4A41-45CA-87AE-0BC855A9D36C}" name="CÓDIGO CATÁLOGO" dataDxfId="125"/>
    <tableColumn id="2" xr3:uid="{0383119D-176B-422A-A5C9-A2D15D4BFF8F}" name="ARTÍCULO" dataDxfId="124">
      <calculatedColumnFormula>IFERROR(INDEX(UNSPSCDes,MATCH(INDIRECT(ADDRESS(ROW(),COLUMN()-1,4)),UNSPSCCode,0)),"")</calculatedColumnFormula>
    </tableColumn>
    <tableColumn id="3" xr3:uid="{065203C3-2E99-4ABB-A9EA-BE7FF072CBA6}" name="UNIDAD DE MEDIDA" dataDxfId="123"/>
    <tableColumn id="4" xr3:uid="{88BDF376-310F-4E84-A5A6-7BCC46F58A01}" name="CANTIDAD TOTAL ESTIMADA" dataDxfId="122"/>
    <tableColumn id="5" xr3:uid="{BBD4427B-3932-43A8-B4F5-0E543E6BA429}" name="PRECIO UNITARIO ESTIMADO" dataDxfId="121"/>
    <tableColumn id="6" xr3:uid="{D9B4EAF9-F997-404C-BF3F-CEB337D6BF6A}" name="MONTO TOTAL ESTIMADO" dataDxfId="120">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9079A91-CEBA-46A3-A903-C2D11C87F653}" name="Table326" displayName="Table326" ref="A397:F398" totalsRowShown="0" headerRowDxfId="119" dataDxfId="118">
  <autoFilter ref="A397:F398" xr:uid="{19079A91-CEBA-46A3-A903-C2D11C87F653}"/>
  <tableColumns count="6">
    <tableColumn id="1" xr3:uid="{A87AB2DC-1F79-47CE-AA06-DBC9117D4059}" name="CÓDIGO CATÁLOGO" dataDxfId="117"/>
    <tableColumn id="2" xr3:uid="{96645E48-696B-41E5-84AC-1E392C49701D}" name="ARTÍCULO" dataDxfId="116">
      <calculatedColumnFormula>IFERROR(INDEX(UNSPSCDes,MATCH(INDIRECT(ADDRESS(ROW(),COLUMN()-1,4)),UNSPSCCode,0)),"")</calculatedColumnFormula>
    </tableColumn>
    <tableColumn id="3" xr3:uid="{2E79C30A-6C33-43F2-92BE-0C42B5CA52CB}" name="UNIDAD DE MEDIDA" dataDxfId="115"/>
    <tableColumn id="4" xr3:uid="{F897DD2F-7776-4703-9C73-863626180DA9}" name="CANTIDAD TOTAL ESTIMADA" dataDxfId="114"/>
    <tableColumn id="5" xr3:uid="{3D713621-26BD-403D-8E32-A9F138038B06}" name="PRECIO UNITARIO ESTIMADO" dataDxfId="113"/>
    <tableColumn id="6" xr3:uid="{CA749F61-964C-443A-A32F-AEADE9C740BF}" name="MONTO TOTAL ESTIMADO" dataDxfId="112">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162F8E7-6B4D-4E8A-88F3-D4E58E13CEF1}" name="Table327" displayName="Table327" ref="A408:F409" totalsRowShown="0" headerRowDxfId="111" dataDxfId="110">
  <autoFilter ref="A408:F409" xr:uid="{A162F8E7-6B4D-4E8A-88F3-D4E58E13CEF1}"/>
  <tableColumns count="6">
    <tableColumn id="1" xr3:uid="{48E1C18E-93C7-4DDD-B83B-D5978BB5E90F}" name="CÓDIGO CATÁLOGO" dataDxfId="109"/>
    <tableColumn id="2" xr3:uid="{91542A05-CF04-4C64-9E0F-D926A03CB26E}" name="ARTÍCULO" dataDxfId="108">
      <calculatedColumnFormula>IFERROR(INDEX(UNSPSCDes,MATCH(INDIRECT(ADDRESS(ROW(),COLUMN()-1,4)),UNSPSCCode,0)),"")</calculatedColumnFormula>
    </tableColumn>
    <tableColumn id="3" xr3:uid="{AC839C54-90A5-4ACF-8F7E-7859F5E6D613}" name="UNIDAD DE MEDIDA" dataDxfId="107"/>
    <tableColumn id="4" xr3:uid="{D133366F-5DD0-4C42-89BB-2774846E8E02}" name="CANTIDAD TOTAL ESTIMADA" dataDxfId="106"/>
    <tableColumn id="5" xr3:uid="{49AD05EE-FC96-45A1-B06D-F2D96508D8D8}" name="PRECIO UNITARIO ESTIMADO" dataDxfId="105"/>
    <tableColumn id="6" xr3:uid="{2DF2EF9E-48E7-4F6A-8FDA-CB384C509C4D}" name="MONTO TOTAL ESTIMADO" dataDxfId="104">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E130531-7C02-4987-AA21-D00A4E29639E}" name="Table328" displayName="Table328" ref="A419:F420" totalsRowShown="0" headerRowDxfId="103" dataDxfId="102">
  <autoFilter ref="A419:F420" xr:uid="{AE130531-7C02-4987-AA21-D00A4E29639E}"/>
  <tableColumns count="6">
    <tableColumn id="1" xr3:uid="{564772EA-E2CD-4339-9802-F107024152D9}" name="CÓDIGO CATÁLOGO" dataDxfId="101"/>
    <tableColumn id="2" xr3:uid="{3825BB58-32C2-4FFA-AA28-62529FB4B5AE}" name="ARTÍCULO" dataDxfId="100">
      <calculatedColumnFormula>IFERROR(INDEX(UNSPSCDes,MATCH(INDIRECT(ADDRESS(ROW(),COLUMN()-1,4)),UNSPSCCode,0)),"")</calculatedColumnFormula>
    </tableColumn>
    <tableColumn id="3" xr3:uid="{B97D2BF9-9AEC-47EC-AE36-F1242FD18F6E}" name="UNIDAD DE MEDIDA" dataDxfId="99"/>
    <tableColumn id="4" xr3:uid="{D8A0AFEF-0B8D-448E-A9E2-DDFAB3455E5D}" name="CANTIDAD TOTAL ESTIMADA" dataDxfId="98"/>
    <tableColumn id="5" xr3:uid="{0D5F713C-3C78-422A-AE5B-08C56D0913AD}" name="PRECIO UNITARIO ESTIMADO" dataDxfId="97"/>
    <tableColumn id="6" xr3:uid="{999AF69A-6915-4A17-A247-FCB766F3556B}" name="MONTO TOTAL ESTIMADO" dataDxfId="96">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60C2FC9-CF50-4266-8843-40AA9DB5D05C}" name="Table329" displayName="Table329" ref="A430:F431" totalsRowShown="0" headerRowDxfId="95" dataDxfId="94">
  <autoFilter ref="A430:F431" xr:uid="{960C2FC9-CF50-4266-8843-40AA9DB5D05C}"/>
  <tableColumns count="6">
    <tableColumn id="1" xr3:uid="{A06745B8-066E-4B98-8D9B-1D0D8A5F33DC}" name="CÓDIGO CATÁLOGO" dataDxfId="93"/>
    <tableColumn id="2" xr3:uid="{AAD91B6C-11A6-4943-B0E1-C948D519660D}" name="ARTÍCULO" dataDxfId="92">
      <calculatedColumnFormula>IFERROR(INDEX(UNSPSCDes,MATCH(INDIRECT(ADDRESS(ROW(),COLUMN()-1,4)),UNSPSCCode,0)),"")</calculatedColumnFormula>
    </tableColumn>
    <tableColumn id="3" xr3:uid="{488AAF95-6146-4F9B-AA9B-3B5D420AA2AA}" name="UNIDAD DE MEDIDA" dataDxfId="91"/>
    <tableColumn id="4" xr3:uid="{F2076DFD-8E3D-47B8-B184-6B42E752595F}" name="CANTIDAD TOTAL ESTIMADA" dataDxfId="90"/>
    <tableColumn id="5" xr3:uid="{9DAFB127-D4DF-4787-B454-8A015958C896}" name="PRECIO UNITARIO ESTIMADO" dataDxfId="89"/>
    <tableColumn id="6" xr3:uid="{3A71ABD3-57AE-4B1A-B1C1-02714312A54C}" name="MONTO TOTAL ESTIMADO" dataDxfId="88">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FAD45AF-555F-4C2D-968C-19D317B20375}" name="Table330" displayName="Table330" ref="A441:F442" totalsRowShown="0" headerRowDxfId="87" dataDxfId="86">
  <autoFilter ref="A441:F442" xr:uid="{9FAD45AF-555F-4C2D-968C-19D317B20375}"/>
  <tableColumns count="6">
    <tableColumn id="1" xr3:uid="{2F602685-CC29-4ACB-AC0D-FB94300E6CE3}" name="CÓDIGO CATÁLOGO" dataDxfId="85"/>
    <tableColumn id="2" xr3:uid="{5EE683A9-D361-467F-9CA3-836644091339}" name="ARTÍCULO" dataDxfId="84">
      <calculatedColumnFormula>IFERROR(INDEX(UNSPSCDes,MATCH(INDIRECT(ADDRESS(ROW(),COLUMN()-1,4)),UNSPSCCode,0)),"")</calculatedColumnFormula>
    </tableColumn>
    <tableColumn id="3" xr3:uid="{437F0A1B-2D06-4A02-BA8A-E7863BF53AF3}" name="UNIDAD DE MEDIDA" dataDxfId="83"/>
    <tableColumn id="4" xr3:uid="{9B42713D-37AF-4E8B-A8DD-D5F499CE3300}" name="CANTIDAD TOTAL ESTIMADA" dataDxfId="82"/>
    <tableColumn id="5" xr3:uid="{5676352E-7818-4AF8-A7E9-88629ACE3A6B}" name="PRECIO UNITARIO ESTIMADO" dataDxfId="81"/>
    <tableColumn id="6" xr3:uid="{021DD9B2-E643-48A9-8941-001335DCCEF4}" name="MONTO TOTAL ESTIMADO" dataDxfId="80">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F0A6430-F651-4D67-A959-84064614BEF1}" name="Table333" displayName="Table333" ref="A452:F453" totalsRowShown="0" headerRowDxfId="79" dataDxfId="78">
  <autoFilter ref="A452:F453" xr:uid="{AF0A6430-F651-4D67-A959-84064614BEF1}"/>
  <tableColumns count="6">
    <tableColumn id="1" xr3:uid="{FA07164F-76D7-4A63-9EFA-BD18529BDFE6}" name="CÓDIGO CATÁLOGO" dataDxfId="77"/>
    <tableColumn id="2" xr3:uid="{379131ED-923F-4B8A-8ADD-BFC5C081074B}" name="ARTÍCULO" dataDxfId="76">
      <calculatedColumnFormula>IFERROR(INDEX(UNSPSCDes,MATCH(INDIRECT(ADDRESS(ROW(),COLUMN()-1,4)),UNSPSCCode,0)),"")</calculatedColumnFormula>
    </tableColumn>
    <tableColumn id="3" xr3:uid="{E9CAD130-21D2-4CD0-95C3-DA03C540DE36}" name="UNIDAD DE MEDIDA" dataDxfId="75"/>
    <tableColumn id="4" xr3:uid="{95DA62AF-8D6D-4086-99E0-1D548BB23039}" name="CANTIDAD TOTAL ESTIMADA" dataDxfId="74"/>
    <tableColumn id="5" xr3:uid="{A14E3822-E261-4324-8BAC-7385A862F260}" name="PRECIO UNITARIO ESTIMADO" dataDxfId="73"/>
    <tableColumn id="6" xr3:uid="{FD55699B-9AAF-4980-AAF8-5EE2F4926228}" name="MONTO TOTAL ESTIMADO" dataDxfId="72">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852A307-93DE-4FAF-B79B-1F4A213233A9}" name="Table334" displayName="Table334" ref="A463:F464" totalsRowShown="0" headerRowDxfId="71" dataDxfId="70">
  <autoFilter ref="A463:F464" xr:uid="{E852A307-93DE-4FAF-B79B-1F4A213233A9}"/>
  <tableColumns count="6">
    <tableColumn id="1" xr3:uid="{7D47F501-7016-4F02-A7F3-B86CEF4FEE32}" name="CÓDIGO CATÁLOGO" dataDxfId="69"/>
    <tableColumn id="2" xr3:uid="{56FF7A17-F323-475C-8CEB-DDE32D41BA0C}" name="ARTÍCULO" dataDxfId="68">
      <calculatedColumnFormula>IFERROR(INDEX(UNSPSCDes,MATCH(INDIRECT(ADDRESS(ROW(),COLUMN()-1,4)),UNSPSCCode,0)),"")</calculatedColumnFormula>
    </tableColumn>
    <tableColumn id="3" xr3:uid="{D35922D5-E6F7-453D-B2D2-B25C43CA3486}" name="UNIDAD DE MEDIDA" dataDxfId="67"/>
    <tableColumn id="4" xr3:uid="{285D0CAE-24B8-4343-A4C6-BAD388B2F947}" name="CANTIDAD TOTAL ESTIMADA" dataDxfId="66"/>
    <tableColumn id="5" xr3:uid="{CDF21800-4F63-428B-AAB0-DDAA1879D00C}" name="PRECIO UNITARIO ESTIMADO" dataDxfId="65"/>
    <tableColumn id="6" xr3:uid="{C575080C-1AA5-4C49-A718-D2CB4786AB2E}" name="MONTO TOTAL ESTIMADO" dataDxfId="64">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F0ACC62-40A6-47BE-A371-028DE3A1301D}" name="Table335" displayName="Table335" ref="A474:F476" totalsRowShown="0" headerRowDxfId="63" dataDxfId="62">
  <autoFilter ref="A474:F476" xr:uid="{6F0ACC62-40A6-47BE-A371-028DE3A1301D}"/>
  <tableColumns count="6">
    <tableColumn id="1" xr3:uid="{CBC400BB-419A-4F7B-B49D-02F9DB91C22A}" name="CÓDIGO CATÁLOGO" dataDxfId="61"/>
    <tableColumn id="2" xr3:uid="{EE01D941-137F-4132-94E4-30D16FFD38F0}" name="ARTÍCULO" dataDxfId="60">
      <calculatedColumnFormula>IFERROR(INDEX(UNSPSCDes,MATCH(INDIRECT(ADDRESS(ROW(),COLUMN()-1,4)),UNSPSCCode,0)),"")</calculatedColumnFormula>
    </tableColumn>
    <tableColumn id="3" xr3:uid="{C942DDAD-15A8-44C6-A434-6D51DF23F4EC}" name="UNIDAD DE MEDIDA" dataDxfId="59"/>
    <tableColumn id="4" xr3:uid="{6291A451-DB82-4095-BCC1-F0D35487027B}" name="CANTIDAD TOTAL ESTIMADA" dataDxfId="58"/>
    <tableColumn id="5" xr3:uid="{C9643208-A812-491D-907A-2723BEFFF7C7}" name="PRECIO UNITARIO ESTIMADO" dataDxfId="57"/>
    <tableColumn id="6" xr3:uid="{89BD723B-98AB-4D87-9632-159555F3E3D5}" name="MONTO TOTAL ESTIMADO" dataDxfId="56">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7C18E5-E3D9-469D-91A9-DD7DF1EEC1B9}" name="Table8" displayName="Table8" ref="A119:F131" totalsRowShown="0" headerRowDxfId="271" dataDxfId="270">
  <tableColumns count="6">
    <tableColumn id="1" xr3:uid="{918FB96C-1B36-445F-B8F4-7727413ECC5E}" name="CÓDIGO CATÁLOGO" dataDxfId="269"/>
    <tableColumn id="2" xr3:uid="{751BF4F1-4BE0-40FC-8CA8-4EEBBFD0D75C}" name="ARTÍCULO" dataDxfId="268"/>
    <tableColumn id="3" xr3:uid="{8A511090-3C62-4E71-90E5-745E319B4F9C}" name="UNIDAD DE MEDIDA" dataDxfId="267"/>
    <tableColumn id="4" xr3:uid="{3707D9D2-AE1B-4488-A999-A69D15106460}" name="CANTIDAD TOTAL ESTIMADA" dataDxfId="266"/>
    <tableColumn id="5" xr3:uid="{6F9D9BF9-166B-4E46-A1A3-978A8CAC0B4C}" name="PRECIO UNITARIO ESTIMADO" dataDxfId="265"/>
    <tableColumn id="6" xr3:uid="{62EA562B-F223-4622-A214-5E8D2D0A2761}" name="MONTO TOTAL ESTIMADO" dataDxfId="264">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4F8F677-CFEB-4FA3-9DD0-F0BBCBFD515D}" name="Table336" displayName="Table336" ref="A486:F487" totalsRowShown="0" headerRowDxfId="55" dataDxfId="54">
  <autoFilter ref="A486:F487" xr:uid="{84F8F677-CFEB-4FA3-9DD0-F0BBCBFD515D}"/>
  <tableColumns count="6">
    <tableColumn id="1" xr3:uid="{0B42DB77-4C24-4A9F-B2CE-956FAF1885CC}" name="CÓDIGO CATÁLOGO" dataDxfId="53"/>
    <tableColumn id="2" xr3:uid="{4BF7D0C6-7117-455F-9CF0-408AD77CC53C}" name="ARTÍCULO" dataDxfId="52">
      <calculatedColumnFormula>IFERROR(INDEX(UNSPSCDes,MATCH(INDIRECT(ADDRESS(ROW(),COLUMN()-1,4)),UNSPSCCode,0)),"")</calculatedColumnFormula>
    </tableColumn>
    <tableColumn id="3" xr3:uid="{3F9341B5-AFA1-43EB-B52C-5D40D82B9D1A}" name="UNIDAD DE MEDIDA" dataDxfId="51"/>
    <tableColumn id="4" xr3:uid="{D408ECC8-9910-43F4-8F65-1C44A7DB47A5}" name="CANTIDAD TOTAL ESTIMADA" dataDxfId="50"/>
    <tableColumn id="5" xr3:uid="{222E8104-0F2C-40F0-A836-1CA12CB39D73}" name="PRECIO UNITARIO ESTIMADO" dataDxfId="49"/>
    <tableColumn id="6" xr3:uid="{C9F9EC2D-B424-4C37-B280-3C282BB4C655}" name="MONTO TOTAL ESTIMADO" dataDxfId="48">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A2E9152-E522-48F8-9AA4-228FE1321C75}" name="Table337" displayName="Table337" ref="A497:F498" totalsRowShown="0" headerRowDxfId="47" dataDxfId="46">
  <autoFilter ref="A497:F498" xr:uid="{3A2E9152-E522-48F8-9AA4-228FE1321C75}"/>
  <tableColumns count="6">
    <tableColumn id="1" xr3:uid="{82D46ADC-6D7D-421E-B599-51CD5B3B8A02}" name="CÓDIGO CATÁLOGO" dataDxfId="45"/>
    <tableColumn id="2" xr3:uid="{20053D77-4609-4DC1-B668-091B7E6A8BBF}" name="ARTÍCULO" dataDxfId="44">
      <calculatedColumnFormula>IFERROR(INDEX(UNSPSCDes,MATCH(INDIRECT(ADDRESS(ROW(),COLUMN()-1,4)),UNSPSCCode,0)),"")</calculatedColumnFormula>
    </tableColumn>
    <tableColumn id="3" xr3:uid="{34ECD1E1-2CBE-491C-A4C8-3FEEE7E740E8}" name="UNIDAD DE MEDIDA" dataDxfId="43"/>
    <tableColumn id="4" xr3:uid="{080879B7-A1E1-40F8-83AC-BFE0A09BA939}" name="CANTIDAD TOTAL ESTIMADA" dataDxfId="42"/>
    <tableColumn id="5" xr3:uid="{15EEDFA8-63D0-4470-B710-61033C7E9CA5}" name="PRECIO UNITARIO ESTIMADO" dataDxfId="41"/>
    <tableColumn id="6" xr3:uid="{A24CB02F-F637-47A3-8CB0-7B5149E86BE3}" name="MONTO TOTAL ESTIMADO" dataDxfId="40">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66D291F-44E1-4EFB-B3EF-44D472CBEEB3}" name="Table338" displayName="Table338" ref="A508:F509" totalsRowShown="0" headerRowDxfId="39" dataDxfId="38">
  <autoFilter ref="A508:F509" xr:uid="{166D291F-44E1-4EFB-B3EF-44D472CBEEB3}"/>
  <tableColumns count="6">
    <tableColumn id="1" xr3:uid="{AD10ED56-849C-41DF-BE68-B9816DAD1607}" name="CÓDIGO CATÁLOGO" dataDxfId="37"/>
    <tableColumn id="2" xr3:uid="{25A2ACAD-23FE-4B8D-A557-544FF35CDDC4}" name="ARTÍCULO" dataDxfId="36">
      <calculatedColumnFormula>IFERROR(INDEX(UNSPSCDes,MATCH(INDIRECT(ADDRESS(ROW(),COLUMN()-1,4)),UNSPSCCode,0)),"")</calculatedColumnFormula>
    </tableColumn>
    <tableColumn id="3" xr3:uid="{312BB52F-7531-44DD-932C-5D74DFD16527}" name="UNIDAD DE MEDIDA" dataDxfId="35"/>
    <tableColumn id="4" xr3:uid="{98AD40E3-0623-4A8C-968E-21252770D68C}" name="CANTIDAD TOTAL ESTIMADA" dataDxfId="34"/>
    <tableColumn id="5" xr3:uid="{0466BD6E-1B8D-4869-B5D0-E2A8753E4891}" name="PRECIO UNITARIO ESTIMADO" dataDxfId="33"/>
    <tableColumn id="6" xr3:uid="{62E2CA30-D2FD-4F98-9E4F-3E805138CF60}" name="MONTO TOTAL ESTIMADO" dataDxfId="32">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86E62324-1E2D-430D-950F-F8570AF6BC27}" name="Table339" displayName="Table339" ref="A519:F520" totalsRowShown="0" headerRowDxfId="31" dataDxfId="30">
  <autoFilter ref="A519:F520" xr:uid="{86E62324-1E2D-430D-950F-F8570AF6BC27}"/>
  <tableColumns count="6">
    <tableColumn id="1" xr3:uid="{0F741BC5-E4A6-41EF-BB0B-6735AD8DB7B7}" name="CÓDIGO CATÁLOGO" dataDxfId="29"/>
    <tableColumn id="2" xr3:uid="{6DE10CDE-8089-4644-BF6D-0FDFC56DD3B2}" name="ARTÍCULO" dataDxfId="28">
      <calculatedColumnFormula>IFERROR(INDEX(UNSPSCDes,MATCH(INDIRECT(ADDRESS(ROW(),COLUMN()-1,4)),UNSPSCCode,0)),"")</calculatedColumnFormula>
    </tableColumn>
    <tableColumn id="3" xr3:uid="{6C893F2B-487A-4D2C-A015-71F8E18CD071}" name="UNIDAD DE MEDIDA" dataDxfId="27"/>
    <tableColumn id="4" xr3:uid="{F2628BEE-CF62-4A41-8CB4-ED2729562308}" name="CANTIDAD TOTAL ESTIMADA" dataDxfId="26"/>
    <tableColumn id="5" xr3:uid="{7C0D4E45-37E9-4201-9C47-BAFE5782EDBB}" name="PRECIO UNITARIO ESTIMADO" dataDxfId="25"/>
    <tableColumn id="6" xr3:uid="{7605C694-1F7E-4147-AEF7-75F167BE7158}" name="MONTO TOTAL ESTIMADO" dataDxfId="24">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7BF02F6-64C7-4F37-A058-56F1FCD7638D}" name="Table341" displayName="Table341" ref="A530:F531" totalsRowShown="0" headerRowDxfId="23" dataDxfId="22">
  <autoFilter ref="A530:F531" xr:uid="{67BF02F6-64C7-4F37-A058-56F1FCD7638D}"/>
  <tableColumns count="6">
    <tableColumn id="1" xr3:uid="{E9F578F9-5605-4D2F-BD3E-4C37D86694D0}" name="CÓDIGO CATÁLOGO" dataDxfId="21"/>
    <tableColumn id="2" xr3:uid="{C30E7A6B-C2CA-49F5-9F9F-03416FEB579A}" name="ARTÍCULO" dataDxfId="20">
      <calculatedColumnFormula>IFERROR(INDEX(UNSPSCDes,MATCH(INDIRECT(ADDRESS(ROW(),COLUMN()-1,4)),UNSPSCCode,0)),"")</calculatedColumnFormula>
    </tableColumn>
    <tableColumn id="3" xr3:uid="{4D49AF99-B0E7-45AE-AC86-B03DE9C171FD}" name="UNIDAD DE MEDIDA" dataDxfId="19"/>
    <tableColumn id="4" xr3:uid="{8327B154-E0F3-4E97-901E-393E9359A667}" name="CANTIDAD TOTAL ESTIMADA" dataDxfId="18"/>
    <tableColumn id="5" xr3:uid="{6CCA7A81-2068-4FB2-A28B-8E2304279001}" name="PRECIO UNITARIO ESTIMADO" dataDxfId="17"/>
    <tableColumn id="6" xr3:uid="{E5CB31A8-28DC-44A8-9AB4-F24332EB6984}" name="MONTO TOTAL ESTIMADO" dataDxfId="16">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0905B1D-07ED-4B66-BDB2-F656F2BA3C45}" name="Table342" displayName="Table342" ref="A541:F544" totalsRowShown="0" headerRowDxfId="15" dataDxfId="14">
  <autoFilter ref="A541:F544" xr:uid="{60905B1D-07ED-4B66-BDB2-F656F2BA3C45}"/>
  <tableColumns count="6">
    <tableColumn id="1" xr3:uid="{7DFC824F-06B8-4BFB-8890-E9307786A0BE}" name="CÓDIGO CATÁLOGO" dataDxfId="13"/>
    <tableColumn id="2" xr3:uid="{CA5CE8B6-A8FA-44AA-AAED-5F1A49EEC4E1}" name="ARTÍCULO" dataDxfId="12">
      <calculatedColumnFormula>IFERROR(INDEX(UNSPSCDes,MATCH(INDIRECT(ADDRESS(ROW(),COLUMN()-1,4)),UNSPSCCode,0)),"")</calculatedColumnFormula>
    </tableColumn>
    <tableColumn id="3" xr3:uid="{2FF5C0F7-4918-4913-AFEA-5F5EE863E696}" name="UNIDAD DE MEDIDA" dataDxfId="11"/>
    <tableColumn id="4" xr3:uid="{3C3A20AD-AF5F-453F-8484-E9C059E22FB0}" name="CANTIDAD TOTAL ESTIMADA" dataDxfId="10"/>
    <tableColumn id="5" xr3:uid="{85462FD2-453A-4C3E-B280-AC300C6668D6}" name="PRECIO UNITARIO ESTIMADO" dataDxfId="9"/>
    <tableColumn id="6" xr3:uid="{D183D131-F721-4296-B4C4-93C01D668385}" name="MONTO TOTAL ESTIMADO" dataDxfId="8">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F350B4E-00B2-47BF-B577-827BCA56542E}" name="Table343" displayName="Table343" ref="A554:F555" totalsRowShown="0" headerRowDxfId="7" dataDxfId="6">
  <autoFilter ref="A554:F555" xr:uid="{CF350B4E-00B2-47BF-B577-827BCA56542E}"/>
  <tableColumns count="6">
    <tableColumn id="1" xr3:uid="{92E8C359-BCA0-421E-9D9A-0046178D0659}" name="CÓDIGO CATÁLOGO" dataDxfId="5"/>
    <tableColumn id="2" xr3:uid="{2EF91769-892F-4351-98CC-337A4FEADC90}" name="ARTÍCULO" dataDxfId="4">
      <calculatedColumnFormula>IFERROR(INDEX(UNSPSCDes,MATCH(INDIRECT(ADDRESS(ROW(),COLUMN()-1,4)),UNSPSCCode,0)),"")</calculatedColumnFormula>
    </tableColumn>
    <tableColumn id="3" xr3:uid="{5B521AD9-7579-4BC5-A90A-02E48115ECE8}" name="UNIDAD DE MEDIDA" dataDxfId="3"/>
    <tableColumn id="4" xr3:uid="{78E8F2A0-7EE2-4C78-98E6-4FF837DB79BA}" name="CANTIDAD TOTAL ESTIMADA" dataDxfId="2"/>
    <tableColumn id="5" xr3:uid="{25A29DA0-C73C-48FE-9311-BCEF20329379}" name="PRECIO UNITARIO ESTIMADO" dataDxfId="1"/>
    <tableColumn id="6" xr3:uid="{AFB60092-D9F1-426D-8BF7-B338AA3C0075}" name="MONTO TOTAL ESTIMADO" dataDxfId="0">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77F01F-B9C1-48B4-99B9-9DB8BF61EEDD}" name="Table17" displayName="Table17" ref="A195:F242" totalsRowShown="0" headerRowDxfId="263" dataDxfId="262">
  <tableColumns count="6">
    <tableColumn id="1" xr3:uid="{95AF3528-D2BE-4E65-9D15-ABFD5530812F}" name="CÓDIGO CATÁLOGO" dataDxfId="261"/>
    <tableColumn id="2" xr3:uid="{D0986D2A-4ADD-4A19-A795-634E6CC5F405}" name="ARTÍCULO" dataDxfId="260"/>
    <tableColumn id="3" xr3:uid="{CEEA167A-D869-47FA-8ABE-7ECFCCE589C9}" name="UNIDAD DE MEDIDA" dataDxfId="259"/>
    <tableColumn id="4" xr3:uid="{0C2D900C-CDBF-4571-AC65-F57D9190041A}" name="CANTIDAD TOTAL ESTIMADA" dataDxfId="258"/>
    <tableColumn id="5" xr3:uid="{12052FEC-AF8F-423E-BDA0-BCC6625C89C6}" name="PRECIO UNITARIO ESTIMADO" dataDxfId="257"/>
    <tableColumn id="6" xr3:uid="{2D0125DA-5571-4A07-8ACA-D3FA6D833D12}" name="MONTO TOTAL ESTIMADO" dataDxfId="256">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61FC23-43B9-462E-831C-1ECA2A2967BE}" name="Table16" displayName="Table16" ref="A182:F185" totalsRowShown="0" headerRowDxfId="255" dataDxfId="254">
  <tableColumns count="6">
    <tableColumn id="1" xr3:uid="{BEEA8C28-824A-4EAF-AEF8-FF86B3E4D9C2}" name="CÓDIGO CATÁLOGO" dataDxfId="253"/>
    <tableColumn id="2" xr3:uid="{987DDD48-B1E1-4053-8777-0CCCAFF17EA0}" name="ARTÍCULO" dataDxfId="252"/>
    <tableColumn id="3" xr3:uid="{1A62AD08-7876-4029-8DE8-4640AB044B68}" name="UNIDAD DE MEDIDA" dataDxfId="251"/>
    <tableColumn id="4" xr3:uid="{B10ADFCB-F73A-4203-81A5-407E3EA14EAC}" name="CANTIDAD TOTAL ESTIMADA" dataDxfId="250"/>
    <tableColumn id="5" xr3:uid="{F24D63B9-EB52-4923-B614-30DC8ABAAAE5}" name="PRECIO UNITARIO ESTIMADO" dataDxfId="249"/>
    <tableColumn id="6" xr3:uid="{B3557158-251C-4A6B-9E0D-A72140C62A80}" name="MONTO TOTAL ESTIMADO" dataDxfId="248">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9A5816E-F26E-419B-9196-5486002C5258}" name="Table10" displayName="Table10" ref="A160:F161" totalsRowShown="0" headerRowDxfId="247" dataDxfId="246">
  <tableColumns count="6">
    <tableColumn id="1" xr3:uid="{134BB14E-B5F7-48AD-913F-96E770F922EC}" name="CÓDIGO CATÁLOGO" dataDxfId="245"/>
    <tableColumn id="2" xr3:uid="{C6411525-DA67-4757-89A0-EFDA9949A7F3}" name="ARTÍCULO" dataDxfId="244">
      <calculatedColumnFormula>IFERROR(INDEX(UNSPSCDes,MATCH(INDIRECT(ADDRESS(ROW(),COLUMN()-1,4)),UNSPSCCode,0)),IF(INDIRECT(ADDRESS(ROW(),COLUMN()-1,4))="78111502","Viajes en aviones comerciales",""))</calculatedColumnFormula>
    </tableColumn>
    <tableColumn id="3" xr3:uid="{F51BC798-FD2C-4B79-8D11-3A7F5C210527}" name="UNIDAD DE MEDIDA" dataDxfId="243">
      <calculatedColumnFormula>IFERROR(VLOOKUP("UD",'[1]Informacion '!P:Q,2,FALSE),"")</calculatedColumnFormula>
    </tableColumn>
    <tableColumn id="4" xr3:uid="{0C028FC0-E52D-4B67-AA1F-8B8C3017352E}" name="CANTIDAD TOTAL ESTIMADA" dataDxfId="242"/>
    <tableColumn id="5" xr3:uid="{1A9C963F-EB14-4D46-8EC1-D75D78AA9B15}" name="PRECIO UNITARIO ESTIMADO" dataDxfId="241"/>
    <tableColumn id="6" xr3:uid="{1460E850-C937-48AF-9023-72E45E756095}" name="MONTO TOTAL ESTIMADO" dataDxfId="240">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8DDF15-968A-4858-86DC-938E472804AC}" name="Table4" displayName="Table4" ref="A22:F24" totalsRowShown="0" headerRowDxfId="239" dataDxfId="238">
  <tableColumns count="6">
    <tableColumn id="1" xr3:uid="{5752C815-C406-4A01-99CB-C742C3EB12AE}" name="CÓDIGO CATÁLOGO" dataDxfId="237"/>
    <tableColumn id="2" xr3:uid="{EDA7F3B1-5101-46CD-A84A-1551C0264E60}" name="ARTÍCULO" dataDxfId="236">
      <calculatedColumnFormula>IFERROR(INDEX(UNSPSCDes,MATCH(INDIRECT(ADDRESS(ROW(),COLUMN()-1,4)),UNSPSCCode,0)),IF(INDIRECT(ADDRESS(ROW(),COLUMN()-1,4))="14111507","Papel para impresora o fotocopiadora",""))</calculatedColumnFormula>
    </tableColumn>
    <tableColumn id="3" xr3:uid="{8716717E-A32D-4CED-A0BF-F3CF47A0703A}" name="UNIDAD DE MEDIDA" dataDxfId="235"/>
    <tableColumn id="4" xr3:uid="{41E04831-3D94-40EC-80FF-BDA56EC8C618}" name="CANTIDAD TOTAL ESTIMADA" dataDxfId="234"/>
    <tableColumn id="5" xr3:uid="{ED66C361-3259-4D0F-95A5-AA55B781931B}" name="PRECIO UNITARIO ESTIMADO" dataDxfId="233"/>
    <tableColumn id="6" xr3:uid="{9B48C9C3-E18F-4126-B10D-B22BDBC369F2}" name="MONTO TOTAL ESTIMADO" dataDxfId="232">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398526-2C30-4517-8FCF-6B1BCE67C3A8}" name="Table12" displayName="Table12" ref="A171:F172" totalsRowShown="0" headerRowDxfId="231" dataDxfId="230">
  <tableColumns count="6">
    <tableColumn id="1" xr3:uid="{C759B02E-EC4C-49B8-A2CE-E112DD14A93F}" name="CÓDIGO CATÁLOGO" dataDxfId="229"/>
    <tableColumn id="2" xr3:uid="{B2383863-6199-4824-8C9B-05DB7865211D}" name="ARTÍCULO" dataDxfId="228">
      <calculatedColumnFormula>IFERROR(INDEX(UNSPSCDes,MATCH(INDIRECT(ADDRESS(ROW(),COLUMN()-1,4)),UNSPSCCode,0)),IF(INDIRECT(ADDRESS(ROW(),COLUMN()-1,4))="78180101","Servicios de reparar o pintar la carrocería de vehículos",""))</calculatedColumnFormula>
    </tableColumn>
    <tableColumn id="3" xr3:uid="{6961F6F9-638A-490E-BD5E-FAC2E8753E62}" name="UNIDAD DE MEDIDA" dataDxfId="227">
      <calculatedColumnFormula>IFERROR(VLOOKUP("UD",'[1]Informacion '!P:Q,2,FALSE),"")</calculatedColumnFormula>
    </tableColumn>
    <tableColumn id="4" xr3:uid="{000CD24B-C448-4138-BDBF-8D1B4F3EE3D0}" name="CANTIDAD TOTAL ESTIMADA" dataDxfId="226"/>
    <tableColumn id="5" xr3:uid="{947810BE-484E-4B34-99DF-FE6693A27769}" name="PRECIO UNITARIO ESTIMADO" dataDxfId="225"/>
    <tableColumn id="6" xr3:uid="{0CFBD17D-6BF8-4558-AE8D-E10A5E38836B}" name="MONTO TOTAL ESTIMADO" dataDxfId="224">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1F27455-ED8E-4EC3-9821-36E0F18A3CAC}" name="Table5" displayName="Table5" ref="A34:F37" totalsRowShown="0" headerRowDxfId="223" dataDxfId="222">
  <tableColumns count="6">
    <tableColumn id="1" xr3:uid="{18FE3089-B160-40AE-891D-3346DBCC71B6}" name="CÓDIGO CATÁLOGO" dataDxfId="221"/>
    <tableColumn id="2" xr3:uid="{523F1CDE-15EB-4DF0-B3F3-B311DE664509}" name="ARTÍCULO" dataDxfId="220"/>
    <tableColumn id="3" xr3:uid="{0B2E4E80-F266-4270-90C7-25A48179DD1A}" name="UNIDAD DE MEDIDA" dataDxfId="219"/>
    <tableColumn id="4" xr3:uid="{FAD37624-BE9F-423D-9880-9DF43AF239B3}" name="CANTIDAD TOTAL ESTIMADA" dataDxfId="218"/>
    <tableColumn id="5" xr3:uid="{31B4F711-FDB3-4998-807B-4D6509E69969}" name="PRECIO UNITARIO ESTIMADO" dataDxfId="217"/>
    <tableColumn id="6" xr3:uid="{35ABEDC5-8361-4238-9948-92DFE1D56474}" name="MONTO TOTAL ESTIMADO" dataDxfId="216">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9" Type="http://schemas.openxmlformats.org/officeDocument/2006/relationships/table" Target="../tables/table36.xml"/><Relationship Id="rId3" Type="http://schemas.openxmlformats.org/officeDocument/2006/relationships/vmlDrawing" Target="../drawings/vmlDrawing1.vml"/><Relationship Id="rId21" Type="http://schemas.openxmlformats.org/officeDocument/2006/relationships/table" Target="../tables/table18.xml"/><Relationship Id="rId34" Type="http://schemas.openxmlformats.org/officeDocument/2006/relationships/table" Target="../tables/table3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comments" Target="../comments1.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79458-2CD4-4CD7-BFE4-66BE27D3DDBE}">
  <sheetPr>
    <pageSetUpPr fitToPage="1"/>
  </sheetPr>
  <dimension ref="A1:F564"/>
  <sheetViews>
    <sheetView tabSelected="1" topLeftCell="A533" workbookViewId="0">
      <selection activeCell="B553" sqref="B553"/>
    </sheetView>
  </sheetViews>
  <sheetFormatPr baseColWidth="10" defaultRowHeight="15" x14ac:dyDescent="0.25"/>
  <cols>
    <col min="1" max="1" width="28.7109375" customWidth="1"/>
    <col min="2" max="2" width="36.42578125" bestFit="1" customWidth="1"/>
    <col min="3" max="3" width="22.42578125" customWidth="1"/>
    <col min="4" max="4" width="31.7109375" customWidth="1"/>
    <col min="5" max="5" width="30" customWidth="1"/>
    <col min="6" max="6" width="30.28515625" customWidth="1"/>
  </cols>
  <sheetData>
    <row r="1" spans="1:6" ht="16.5" thickTop="1" x14ac:dyDescent="0.25">
      <c r="A1" s="40"/>
      <c r="B1" s="3"/>
      <c r="C1" s="4"/>
      <c r="D1" s="4"/>
      <c r="E1" s="5"/>
      <c r="F1" s="3"/>
    </row>
    <row r="2" spans="1:6" ht="15.75" x14ac:dyDescent="0.25">
      <c r="A2" s="40"/>
      <c r="B2" s="41" t="s">
        <v>0</v>
      </c>
      <c r="C2" s="41"/>
      <c r="D2" s="41"/>
      <c r="E2" s="41"/>
      <c r="F2" s="1"/>
    </row>
    <row r="3" spans="1:6" ht="15.75" x14ac:dyDescent="0.25">
      <c r="A3" s="40"/>
      <c r="B3" s="42" t="str">
        <f>"AÑO 2023"</f>
        <v>AÑO 2023</v>
      </c>
      <c r="C3" s="42"/>
      <c r="D3" s="42"/>
      <c r="E3" s="42"/>
      <c r="F3" s="2"/>
    </row>
    <row r="4" spans="1:6" ht="15.75" x14ac:dyDescent="0.25">
      <c r="A4" s="40"/>
      <c r="B4" s="3"/>
      <c r="C4" s="3"/>
      <c r="D4" s="3"/>
      <c r="E4" s="6"/>
      <c r="F4" s="3"/>
    </row>
    <row r="5" spans="1:6" ht="28.5" customHeight="1" thickBot="1" x14ac:dyDescent="0.3">
      <c r="A5" s="7"/>
      <c r="B5" s="7"/>
      <c r="C5" s="8"/>
      <c r="D5" s="8"/>
      <c r="E5" s="8"/>
      <c r="F5" s="8"/>
    </row>
    <row r="6" spans="1:6" ht="16.5" thickBot="1" x14ac:dyDescent="0.3">
      <c r="A6" s="9" t="s">
        <v>1</v>
      </c>
      <c r="B6" s="10"/>
      <c r="C6" s="11"/>
      <c r="D6" s="12" t="s">
        <v>2</v>
      </c>
      <c r="E6" s="38" t="s">
        <v>3</v>
      </c>
      <c r="F6" s="39"/>
    </row>
    <row r="7" spans="1:6" ht="16.5" thickBot="1" x14ac:dyDescent="0.3">
      <c r="A7" s="13" t="s">
        <v>4</v>
      </c>
      <c r="B7" s="10"/>
      <c r="C7" s="10"/>
      <c r="D7" s="12" t="s">
        <v>5</v>
      </c>
      <c r="E7" s="38" t="s">
        <v>6</v>
      </c>
      <c r="F7" s="39"/>
    </row>
    <row r="8" spans="1:6" ht="16.5" thickBot="1" x14ac:dyDescent="0.3">
      <c r="A8" s="10"/>
      <c r="B8" s="10"/>
      <c r="C8" s="10"/>
      <c r="D8" s="12" t="s">
        <v>7</v>
      </c>
      <c r="E8" s="38" t="s">
        <v>8</v>
      </c>
      <c r="F8" s="39"/>
    </row>
    <row r="9" spans="1:6" ht="16.5" thickBot="1" x14ac:dyDescent="0.3">
      <c r="A9" s="14" t="s">
        <v>9</v>
      </c>
      <c r="B9" s="15">
        <f ca="1">COUNTIFS(TotalEstColumnName,"="&amp;TotalEstLabel,TotalEstColumnValue,"&gt;0")</f>
        <v>36</v>
      </c>
      <c r="C9" s="10"/>
      <c r="D9" s="12" t="s">
        <v>10</v>
      </c>
      <c r="E9" s="38" t="s">
        <v>11</v>
      </c>
      <c r="F9" s="39"/>
    </row>
    <row r="10" spans="1:6" ht="16.5" thickBot="1" x14ac:dyDescent="0.3">
      <c r="A10" s="16" t="s">
        <v>12</v>
      </c>
      <c r="B10" s="17">
        <f ca="1">SUMIF(TotalEstColumnName,"="&amp;TotalEstLabel,TotalEstColumnValue)</f>
        <v>15576019.539999999</v>
      </c>
      <c r="C10" s="10"/>
      <c r="D10" s="12" t="s">
        <v>13</v>
      </c>
      <c r="E10" s="38" t="s">
        <v>14</v>
      </c>
      <c r="F10" s="39"/>
    </row>
    <row r="11" spans="1:6" ht="16.5" thickBot="1" x14ac:dyDescent="0.3">
      <c r="A11" s="10"/>
      <c r="B11" s="10"/>
      <c r="C11" s="10"/>
      <c r="D11" s="12" t="s">
        <v>15</v>
      </c>
      <c r="E11" s="43">
        <v>2023</v>
      </c>
      <c r="F11" s="44"/>
    </row>
    <row r="12" spans="1:6" ht="16.5" thickBot="1" x14ac:dyDescent="0.3">
      <c r="A12" s="18"/>
      <c r="B12" s="18"/>
      <c r="C12" s="18"/>
      <c r="D12" s="12" t="s">
        <v>16</v>
      </c>
      <c r="E12" s="45" t="s">
        <v>17</v>
      </c>
      <c r="F12" s="46"/>
    </row>
    <row r="13" spans="1:6" ht="15.75" x14ac:dyDescent="0.25">
      <c r="A13" s="19"/>
      <c r="B13" s="19"/>
      <c r="C13" s="19"/>
      <c r="D13" s="19"/>
      <c r="E13" s="19"/>
      <c r="F13" s="19"/>
    </row>
    <row r="14" spans="1:6" ht="16.5" thickBot="1" x14ac:dyDescent="0.3">
      <c r="A14" s="19"/>
      <c r="B14" s="19"/>
      <c r="C14" s="19"/>
      <c r="D14" s="19"/>
      <c r="E14" s="19"/>
      <c r="F14" s="19"/>
    </row>
    <row r="15" spans="1:6" ht="32.25" thickBot="1" x14ac:dyDescent="0.3">
      <c r="A15" s="20" t="s">
        <v>18</v>
      </c>
      <c r="B15" s="20" t="s">
        <v>19</v>
      </c>
      <c r="C15" s="20" t="s">
        <v>20</v>
      </c>
      <c r="D15" s="20" t="s">
        <v>21</v>
      </c>
      <c r="E15" s="20" t="s">
        <v>22</v>
      </c>
      <c r="F15" s="20" t="s">
        <v>23</v>
      </c>
    </row>
    <row r="16" spans="1:6" ht="16.5" thickBot="1" x14ac:dyDescent="0.3">
      <c r="A16" s="21" t="s">
        <v>24</v>
      </c>
      <c r="B16" s="21" t="s">
        <v>25</v>
      </c>
      <c r="C16" s="21" t="s">
        <v>26</v>
      </c>
      <c r="D16" s="21" t="s">
        <v>27</v>
      </c>
      <c r="E16" s="21" t="s">
        <v>28</v>
      </c>
      <c r="F16" s="21" t="s">
        <v>17</v>
      </c>
    </row>
    <row r="17" spans="1:6" ht="16.5" thickBot="1" x14ac:dyDescent="0.3">
      <c r="A17" s="47" t="s">
        <v>29</v>
      </c>
      <c r="B17" s="22" t="s">
        <v>30</v>
      </c>
      <c r="C17" s="23">
        <v>45017</v>
      </c>
      <c r="D17" s="47" t="s">
        <v>31</v>
      </c>
      <c r="E17" s="24" t="s">
        <v>32</v>
      </c>
      <c r="F17" s="25"/>
    </row>
    <row r="18" spans="1:6" ht="16.5" thickBot="1" x14ac:dyDescent="0.3">
      <c r="A18" s="48"/>
      <c r="B18" s="22" t="s">
        <v>33</v>
      </c>
      <c r="C18" s="27">
        <v>2</v>
      </c>
      <c r="D18" s="48"/>
      <c r="E18" s="24" t="s">
        <v>34</v>
      </c>
      <c r="F18" s="25"/>
    </row>
    <row r="19" spans="1:6" ht="16.5" thickBot="1" x14ac:dyDescent="0.3">
      <c r="A19" s="48"/>
      <c r="B19" s="22" t="s">
        <v>35</v>
      </c>
      <c r="C19" s="23">
        <v>45047</v>
      </c>
      <c r="D19" s="48"/>
      <c r="E19" s="24" t="s">
        <v>36</v>
      </c>
      <c r="F19" s="25"/>
    </row>
    <row r="20" spans="1:6" ht="16.5" thickBot="1" x14ac:dyDescent="0.3">
      <c r="A20" s="48"/>
      <c r="B20" s="22" t="s">
        <v>33</v>
      </c>
      <c r="C20" s="27"/>
      <c r="D20" s="48"/>
      <c r="E20" s="24" t="s">
        <v>37</v>
      </c>
      <c r="F20" s="25"/>
    </row>
    <row r="21" spans="1:6" ht="16.5" thickBot="1" x14ac:dyDescent="0.3">
      <c r="A21" s="19"/>
      <c r="B21" s="19"/>
      <c r="C21" s="19"/>
      <c r="D21" s="19"/>
      <c r="E21" s="19"/>
      <c r="F21" s="19"/>
    </row>
    <row r="22" spans="1:6" ht="16.5" thickBot="1" x14ac:dyDescent="0.3">
      <c r="A22" s="28" t="s">
        <v>38</v>
      </c>
      <c r="B22" s="28" t="s">
        <v>39</v>
      </c>
      <c r="C22" s="28" t="s">
        <v>40</v>
      </c>
      <c r="D22" s="28" t="s">
        <v>41</v>
      </c>
      <c r="E22" s="28" t="s">
        <v>42</v>
      </c>
      <c r="F22" s="28" t="s">
        <v>43</v>
      </c>
    </row>
    <row r="23" spans="1:6" ht="15.75" x14ac:dyDescent="0.25">
      <c r="A23" s="29" t="s">
        <v>44</v>
      </c>
      <c r="B23" s="30" t="str">
        <f ca="1">IFERROR(INDEX(UNSPSCDes,MATCH(INDIRECT(ADDRESS(ROW(),COLUMN()-1,4)),UNSPSCCode,0)),IF(INDIRECT(ADDRESS(ROW(),COLUMN()-1,4))="14111507","Papel para impresora o fotocopiadora",""))</f>
        <v>Papel para impresora o fotocopiadora</v>
      </c>
      <c r="C23" s="31" t="s">
        <v>45</v>
      </c>
      <c r="D23" s="29">
        <v>20</v>
      </c>
      <c r="E23" s="32">
        <v>300</v>
      </c>
      <c r="F23" s="33">
        <f ca="1">INDIRECT(ADDRESS(ROW(),COLUMN()-2,4))*INDIRECT(ADDRESS(ROW(),COLUMN()-1,4))</f>
        <v>6000</v>
      </c>
    </row>
    <row r="24" spans="1:6" ht="15.75" x14ac:dyDescent="0.25">
      <c r="A24" s="29" t="s">
        <v>44</v>
      </c>
      <c r="B24" s="30" t="str">
        <f ca="1">IFERROR(INDEX(UNSPSCDes,MATCH(INDIRECT(ADDRESS(ROW(),COLUMN()-1,4)),UNSPSCCode,0)),IF(INDIRECT(ADDRESS(ROW(),COLUMN()-1,4))="14111507","Papel para impresora o fotocopiadora",""))</f>
        <v>Papel para impresora o fotocopiadora</v>
      </c>
      <c r="C24" s="31" t="s">
        <v>45</v>
      </c>
      <c r="D24" s="29">
        <v>10</v>
      </c>
      <c r="E24" s="32">
        <v>400</v>
      </c>
      <c r="F24" s="33">
        <f ca="1">INDIRECT(ADDRESS(ROW(),COLUMN()-2,4))*INDIRECT(ADDRESS(ROW(),COLUMN()-1,4))</f>
        <v>4000</v>
      </c>
    </row>
    <row r="25" spans="1:6" ht="15.75" x14ac:dyDescent="0.25">
      <c r="A25" s="19"/>
      <c r="B25" s="19"/>
      <c r="C25" s="19"/>
      <c r="D25" s="19"/>
      <c r="E25" s="34" t="s">
        <v>46</v>
      </c>
      <c r="F25" s="35">
        <f ca="1">SUM(Table4[MONTO TOTAL ESTIMADO])</f>
        <v>10000</v>
      </c>
    </row>
    <row r="26" spans="1:6" ht="16.5" thickBot="1" x14ac:dyDescent="0.3">
      <c r="A26" s="19"/>
      <c r="B26" s="19"/>
      <c r="C26" s="19"/>
      <c r="D26" s="19"/>
      <c r="E26" s="19"/>
      <c r="F26" s="19"/>
    </row>
    <row r="27" spans="1:6" ht="32.25" thickBot="1" x14ac:dyDescent="0.3">
      <c r="A27" s="20" t="s">
        <v>18</v>
      </c>
      <c r="B27" s="20" t="s">
        <v>19</v>
      </c>
      <c r="C27" s="20" t="s">
        <v>20</v>
      </c>
      <c r="D27" s="20" t="s">
        <v>21</v>
      </c>
      <c r="E27" s="20" t="s">
        <v>22</v>
      </c>
      <c r="F27" s="20" t="s">
        <v>23</v>
      </c>
    </row>
    <row r="28" spans="1:6" ht="16.5" thickBot="1" x14ac:dyDescent="0.3">
      <c r="A28" s="21" t="s">
        <v>47</v>
      </c>
      <c r="B28" s="21" t="s">
        <v>25</v>
      </c>
      <c r="C28" s="21" t="s">
        <v>26</v>
      </c>
      <c r="D28" s="21" t="s">
        <v>27</v>
      </c>
      <c r="E28" s="21" t="s">
        <v>28</v>
      </c>
      <c r="F28" s="21" t="s">
        <v>17</v>
      </c>
    </row>
    <row r="29" spans="1:6" ht="16.5" thickBot="1" x14ac:dyDescent="0.3">
      <c r="A29" s="47" t="s">
        <v>29</v>
      </c>
      <c r="B29" s="22" t="s">
        <v>30</v>
      </c>
      <c r="C29" s="23">
        <v>45017</v>
      </c>
      <c r="D29" s="47" t="s">
        <v>31</v>
      </c>
      <c r="E29" s="24" t="s">
        <v>32</v>
      </c>
      <c r="F29" s="25"/>
    </row>
    <row r="30" spans="1:6" ht="16.5" thickBot="1" x14ac:dyDescent="0.3">
      <c r="A30" s="48"/>
      <c r="B30" s="22" t="s">
        <v>33</v>
      </c>
      <c r="C30" s="27">
        <v>2</v>
      </c>
      <c r="D30" s="48"/>
      <c r="E30" s="24" t="s">
        <v>34</v>
      </c>
      <c r="F30" s="25"/>
    </row>
    <row r="31" spans="1:6" ht="16.5" thickBot="1" x14ac:dyDescent="0.3">
      <c r="A31" s="48"/>
      <c r="B31" s="22" t="s">
        <v>35</v>
      </c>
      <c r="C31" s="23">
        <v>45061</v>
      </c>
      <c r="D31" s="48"/>
      <c r="E31" s="24" t="s">
        <v>36</v>
      </c>
      <c r="F31" s="25"/>
    </row>
    <row r="32" spans="1:6" ht="16.5" thickBot="1" x14ac:dyDescent="0.3">
      <c r="A32" s="48"/>
      <c r="B32" s="22" t="s">
        <v>33</v>
      </c>
      <c r="C32" s="27">
        <v>2</v>
      </c>
      <c r="D32" s="48"/>
      <c r="E32" s="24" t="s">
        <v>37</v>
      </c>
      <c r="F32" s="25"/>
    </row>
    <row r="33" spans="1:6" ht="16.5" thickBot="1" x14ac:dyDescent="0.3">
      <c r="A33" s="19"/>
      <c r="B33" s="19"/>
      <c r="C33" s="19"/>
      <c r="D33" s="19"/>
      <c r="E33" s="19"/>
      <c r="F33" s="19"/>
    </row>
    <row r="34" spans="1:6" ht="16.5" thickBot="1" x14ac:dyDescent="0.3">
      <c r="A34" s="28" t="s">
        <v>38</v>
      </c>
      <c r="B34" s="28" t="s">
        <v>39</v>
      </c>
      <c r="C34" s="28" t="s">
        <v>40</v>
      </c>
      <c r="D34" s="28" t="s">
        <v>41</v>
      </c>
      <c r="E34" s="28" t="s">
        <v>42</v>
      </c>
      <c r="F34" s="28" t="s">
        <v>43</v>
      </c>
    </row>
    <row r="35" spans="1:6" ht="15.75" x14ac:dyDescent="0.25">
      <c r="A35" s="29" t="s">
        <v>48</v>
      </c>
      <c r="B35" s="30" t="str">
        <f ca="1">IFERROR(INDEX(UNSPSCDes,MATCH(INDIRECT(ADDRESS(ROW(),COLUMN()-1,4)),UNSPSCCode,0)),IF(INDIRECT(ADDRESS(ROW(),COLUMN()-1,4))="14111704","Papel higiénico",""))</f>
        <v>Papel higiénico</v>
      </c>
      <c r="C35" s="31" t="str">
        <f>IFERROR(VLOOKUP("PAQ",'[1]Informacion '!P:Q,2,FALSE),"")</f>
        <v>Paquete</v>
      </c>
      <c r="D35" s="29">
        <v>15</v>
      </c>
      <c r="E35" s="32">
        <v>900</v>
      </c>
      <c r="F35" s="33">
        <f ca="1">INDIRECT(ADDRESS(ROW(),COLUMN()-2,4))*INDIRECT(ADDRESS(ROW(),COLUMN()-1,4))</f>
        <v>13500</v>
      </c>
    </row>
    <row r="36" spans="1:6" ht="15.75" x14ac:dyDescent="0.25">
      <c r="A36" s="29" t="s">
        <v>49</v>
      </c>
      <c r="B36" s="30" t="str">
        <f ca="1">IFERROR(INDEX(UNSPSCDes,MATCH(INDIRECT(ADDRESS(ROW(),COLUMN()-1,4)),UNSPSCCode,0)),IF(INDIRECT(ADDRESS(ROW(),COLUMN()-1,4))="14111703","Toallas de papel",""))</f>
        <v>Toallas de papel</v>
      </c>
      <c r="C36" s="31" t="str">
        <f>IFERROR(VLOOKUP("PAQ",'[1]Informacion '!P:Q,2,FALSE),"")</f>
        <v>Paquete</v>
      </c>
      <c r="D36" s="29">
        <v>9</v>
      </c>
      <c r="E36" s="32">
        <v>1800</v>
      </c>
      <c r="F36" s="33">
        <f ca="1">INDIRECT(ADDRESS(ROW(),COLUMN()-2,4))*INDIRECT(ADDRESS(ROW(),COLUMN()-1,4))</f>
        <v>16200</v>
      </c>
    </row>
    <row r="37" spans="1:6" ht="15.75" x14ac:dyDescent="0.25">
      <c r="A37" s="29" t="s">
        <v>50</v>
      </c>
      <c r="B37" s="30" t="str">
        <f ca="1">IFERROR(INDEX(UNSPSCDes,MATCH(INDIRECT(ADDRESS(ROW(),COLUMN()-1,4)),UNSPSCCode,0)),IF(INDIRECT(ADDRESS(ROW(),COLUMN()-1,4))="14111705","Servilletas de papel",""))</f>
        <v>Servilletas de papel</v>
      </c>
      <c r="C37" s="31" t="str">
        <f>IFERROR(VLOOKUP("UD",'[1]Informacion '!P:Q,2,FALSE),"")</f>
        <v>Unidad</v>
      </c>
      <c r="D37" s="29">
        <v>10</v>
      </c>
      <c r="E37" s="32">
        <v>128</v>
      </c>
      <c r="F37" s="33">
        <f ca="1">INDIRECT(ADDRESS(ROW(),COLUMN()-2,4))*INDIRECT(ADDRESS(ROW(),COLUMN()-1,4))</f>
        <v>1280</v>
      </c>
    </row>
    <row r="38" spans="1:6" ht="15.75" x14ac:dyDescent="0.25">
      <c r="A38" s="19"/>
      <c r="B38" s="19"/>
      <c r="C38" s="19"/>
      <c r="D38" s="19"/>
      <c r="E38" s="34" t="s">
        <v>46</v>
      </c>
      <c r="F38" s="35">
        <f ca="1">SUM(Table5[MONTO TOTAL ESTIMADO])</f>
        <v>30980</v>
      </c>
    </row>
    <row r="39" spans="1:6" ht="16.5" thickBot="1" x14ac:dyDescent="0.3">
      <c r="A39" s="19"/>
      <c r="B39" s="19"/>
      <c r="C39" s="19"/>
      <c r="D39" s="19"/>
      <c r="E39" s="19"/>
      <c r="F39" s="19"/>
    </row>
    <row r="40" spans="1:6" ht="32.25" thickBot="1" x14ac:dyDescent="0.3">
      <c r="A40" s="20" t="s">
        <v>18</v>
      </c>
      <c r="B40" s="20" t="s">
        <v>19</v>
      </c>
      <c r="C40" s="20" t="s">
        <v>20</v>
      </c>
      <c r="D40" s="20" t="s">
        <v>21</v>
      </c>
      <c r="E40" s="20" t="s">
        <v>22</v>
      </c>
      <c r="F40" s="20" t="s">
        <v>23</v>
      </c>
    </row>
    <row r="41" spans="1:6" ht="16.5" thickBot="1" x14ac:dyDescent="0.3">
      <c r="A41" s="21" t="s">
        <v>51</v>
      </c>
      <c r="B41" s="21" t="s">
        <v>25</v>
      </c>
      <c r="C41" s="21" t="s">
        <v>26</v>
      </c>
      <c r="D41" s="21" t="s">
        <v>27</v>
      </c>
      <c r="E41" s="21" t="s">
        <v>28</v>
      </c>
      <c r="F41" s="21" t="s">
        <v>17</v>
      </c>
    </row>
    <row r="42" spans="1:6" ht="16.5" thickBot="1" x14ac:dyDescent="0.3">
      <c r="A42" s="47" t="s">
        <v>29</v>
      </c>
      <c r="B42" s="22" t="s">
        <v>30</v>
      </c>
      <c r="C42" s="23">
        <v>45047</v>
      </c>
      <c r="D42" s="47" t="s">
        <v>31</v>
      </c>
      <c r="E42" s="24" t="s">
        <v>32</v>
      </c>
      <c r="F42" s="25"/>
    </row>
    <row r="43" spans="1:6" ht="16.5" thickBot="1" x14ac:dyDescent="0.3">
      <c r="A43" s="48"/>
      <c r="B43" s="22" t="s">
        <v>33</v>
      </c>
      <c r="C43" s="27">
        <f>IF(C42="","",IF(AND(MONTH(C42)&gt;=1,MONTH(C42)&lt;=3),1,IF(AND(MONTH(C42)&gt;=4,MONTH(C42)&lt;=6),2,IF(AND(MONTH(C42)&gt;=7,MONTH(C42)&lt;=9),3,4))))</f>
        <v>2</v>
      </c>
      <c r="D43" s="48"/>
      <c r="E43" s="24" t="s">
        <v>34</v>
      </c>
      <c r="F43" s="25"/>
    </row>
    <row r="44" spans="1:6" ht="16.5" thickBot="1" x14ac:dyDescent="0.3">
      <c r="A44" s="48"/>
      <c r="B44" s="22" t="s">
        <v>35</v>
      </c>
      <c r="C44" s="23">
        <v>45049</v>
      </c>
      <c r="D44" s="48"/>
      <c r="E44" s="24" t="s">
        <v>36</v>
      </c>
      <c r="F44" s="25"/>
    </row>
    <row r="45" spans="1:6" ht="16.5" thickBot="1" x14ac:dyDescent="0.3">
      <c r="A45" s="48"/>
      <c r="B45" s="22" t="s">
        <v>33</v>
      </c>
      <c r="C45" s="27">
        <f>IF(C44="","",IF(AND(MONTH(C44)&gt;=1,MONTH(C44)&lt;=3),1,IF(AND(MONTH(C44)&gt;=4,MONTH(C44)&lt;=6),2,IF(AND(MONTH(C44)&gt;=7,MONTH(C44)&lt;=9),3,4))))</f>
        <v>2</v>
      </c>
      <c r="D45" s="48"/>
      <c r="E45" s="24" t="s">
        <v>37</v>
      </c>
      <c r="F45" s="25"/>
    </row>
    <row r="46" spans="1:6" ht="16.5" thickBot="1" x14ac:dyDescent="0.3">
      <c r="A46" s="19"/>
      <c r="B46" s="19"/>
      <c r="C46" s="19"/>
      <c r="D46" s="19"/>
      <c r="E46" s="19"/>
      <c r="F46" s="19"/>
    </row>
    <row r="47" spans="1:6" ht="16.5" thickBot="1" x14ac:dyDescent="0.3">
      <c r="A47" s="28" t="s">
        <v>38</v>
      </c>
      <c r="B47" s="28" t="s">
        <v>39</v>
      </c>
      <c r="C47" s="28" t="s">
        <v>40</v>
      </c>
      <c r="D47" s="28" t="s">
        <v>41</v>
      </c>
      <c r="E47" s="28" t="s">
        <v>42</v>
      </c>
      <c r="F47" s="28" t="s">
        <v>43</v>
      </c>
    </row>
    <row r="48" spans="1:6" ht="15.75" x14ac:dyDescent="0.25">
      <c r="A48" s="29" t="s">
        <v>52</v>
      </c>
      <c r="B48" s="30" t="str">
        <f ca="1">IFERROR(INDEX(UNSPSCDes,MATCH(INDIRECT(ADDRESS(ROW(),COLUMN()-1,4)),UNSPSCCode,0)),IF(INDIRECT(ADDRESS(ROW(),COLUMN()-1,4))="44122011","Folders",""))</f>
        <v>Folders</v>
      </c>
      <c r="C48" s="31" t="str">
        <f>IFERROR(VLOOKUP("CAJ",'[1]Informacion '!P:Q,2,FALSE),"")</f>
        <v>Caja</v>
      </c>
      <c r="D48" s="29">
        <v>2</v>
      </c>
      <c r="E48" s="32">
        <v>450</v>
      </c>
      <c r="F48" s="33">
        <f t="shared" ref="F48:F53" ca="1" si="0">INDIRECT(ADDRESS(ROW(),COLUMN()-2,4))*INDIRECT(ADDRESS(ROW(),COLUMN()-1,4))</f>
        <v>900</v>
      </c>
    </row>
    <row r="49" spans="1:6" ht="15.75" x14ac:dyDescent="0.25">
      <c r="A49" s="29" t="s">
        <v>52</v>
      </c>
      <c r="B49" s="30" t="str">
        <f ca="1">IFERROR(INDEX(UNSPSCDes,MATCH(INDIRECT(ADDRESS(ROW(),COLUMN()-1,4)),UNSPSCCode,0)),IF(INDIRECT(ADDRESS(ROW(),COLUMN()-1,4))="44122011","Folders",""))</f>
        <v>Folders</v>
      </c>
      <c r="C49" s="31" t="str">
        <f>IFERROR(VLOOKUP("CAJ",'[1]Informacion '!P:Q,2,FALSE),"")</f>
        <v>Caja</v>
      </c>
      <c r="D49" s="29">
        <v>5</v>
      </c>
      <c r="E49" s="32">
        <v>410</v>
      </c>
      <c r="F49" s="33">
        <f t="shared" ca="1" si="0"/>
        <v>2050</v>
      </c>
    </row>
    <row r="50" spans="1:6" ht="15.75" x14ac:dyDescent="0.25">
      <c r="A50" s="29" t="s">
        <v>53</v>
      </c>
      <c r="B50" s="30" t="str">
        <f ca="1">IFERROR(INDEX(UNSPSCDes,MATCH(INDIRECT(ADDRESS(ROW(),COLUMN()-1,4)),UNSPSCCode,0)),IF(INDIRECT(ADDRESS(ROW(),COLUMN()-1,4))="44122017","Folders de colgar o accesorios",""))</f>
        <v>Folders de colgar o accesorios</v>
      </c>
      <c r="C50" s="31" t="str">
        <f>IFERROR(VLOOKUP("CAJ",'[1]Informacion '!P:Q,2,FALSE),"")</f>
        <v>Caja</v>
      </c>
      <c r="D50" s="29">
        <v>10</v>
      </c>
      <c r="E50" s="32">
        <v>1300</v>
      </c>
      <c r="F50" s="33">
        <f t="shared" ca="1" si="0"/>
        <v>13000</v>
      </c>
    </row>
    <row r="51" spans="1:6" ht="15.75" x14ac:dyDescent="0.25">
      <c r="A51" s="29" t="s">
        <v>53</v>
      </c>
      <c r="B51" s="30" t="str">
        <f ca="1">IFERROR(INDEX(UNSPSCDes,MATCH(INDIRECT(ADDRESS(ROW(),COLUMN()-1,4)),UNSPSCCode,0)),IF(INDIRECT(ADDRESS(ROW(),COLUMN()-1,4))="44122017","Folders de colgar o accesorios",""))</f>
        <v>Folders de colgar o accesorios</v>
      </c>
      <c r="C51" s="31" t="str">
        <f>IFERROR(VLOOKUP("CAJ",'[1]Informacion '!P:Q,2,FALSE),"")</f>
        <v>Caja</v>
      </c>
      <c r="D51" s="29">
        <v>4</v>
      </c>
      <c r="E51" s="32">
        <v>300</v>
      </c>
      <c r="F51" s="33">
        <f t="shared" ca="1" si="0"/>
        <v>1200</v>
      </c>
    </row>
    <row r="52" spans="1:6" ht="15.75" x14ac:dyDescent="0.25">
      <c r="A52" s="29" t="s">
        <v>54</v>
      </c>
      <c r="B52" s="30" t="str">
        <f ca="1">IFERROR(INDEX(UNSPSCDes,MATCH(INDIRECT(ADDRESS(ROW(),COLUMN()-1,4)),UNSPSCCode,0)),IF(INDIRECT(ADDRESS(ROW(),COLUMN()-1,4))="44112005","Libretas de citas o repuestos",""))</f>
        <v>Libretas de citas o repuestos</v>
      </c>
      <c r="C52" s="31" t="str">
        <f>IFERROR(VLOOKUP("UD",'[1]Informacion '!P:Q,2,FALSE),"")</f>
        <v>Unidad</v>
      </c>
      <c r="D52" s="29">
        <v>22</v>
      </c>
      <c r="E52" s="32">
        <v>200</v>
      </c>
      <c r="F52" s="33">
        <f t="shared" ca="1" si="0"/>
        <v>4400</v>
      </c>
    </row>
    <row r="53" spans="1:6" ht="31.5" x14ac:dyDescent="0.25">
      <c r="A53" s="29" t="s">
        <v>55</v>
      </c>
      <c r="B53" s="30" t="str">
        <f ca="1">IFERROR(INDEX(UNSPSCDes,MATCH(INDIRECT(ADDRESS(ROW(),COLUMN()-1,4)),UNSPSCCode,0)),IF(INDIRECT(ADDRESS(ROW(),COLUMN()-1,4))="14111526","Papel libretas o libros de mensajes telefónicos",""))</f>
        <v>Papel libretas o libros de mensajes telefónicos</v>
      </c>
      <c r="C53" s="31" t="str">
        <f>IFERROR(VLOOKUP("UD",'[1]Informacion '!P:Q,2,FALSE),"")</f>
        <v>Unidad</v>
      </c>
      <c r="D53" s="29">
        <v>22</v>
      </c>
      <c r="E53" s="32">
        <v>600</v>
      </c>
      <c r="F53" s="33">
        <f t="shared" ca="1" si="0"/>
        <v>13200</v>
      </c>
    </row>
    <row r="54" spans="1:6" ht="15.75" x14ac:dyDescent="0.25">
      <c r="A54" s="19"/>
      <c r="B54" s="19"/>
      <c r="C54" s="19"/>
      <c r="D54" s="19"/>
      <c r="E54" s="34" t="s">
        <v>46</v>
      </c>
      <c r="F54" s="35">
        <f ca="1">SUM(Table6[MONTO TOTAL ESTIMADO])</f>
        <v>34750</v>
      </c>
    </row>
    <row r="55" spans="1:6" ht="16.5" thickBot="1" x14ac:dyDescent="0.3">
      <c r="A55" s="19"/>
      <c r="B55" s="19"/>
      <c r="C55" s="19"/>
      <c r="D55" s="19"/>
      <c r="E55" s="19"/>
      <c r="F55" s="19"/>
    </row>
    <row r="56" spans="1:6" ht="32.25" thickBot="1" x14ac:dyDescent="0.3">
      <c r="A56" s="20" t="s">
        <v>18</v>
      </c>
      <c r="B56" s="20" t="s">
        <v>19</v>
      </c>
      <c r="C56" s="20" t="s">
        <v>20</v>
      </c>
      <c r="D56" s="20" t="s">
        <v>21</v>
      </c>
      <c r="E56" s="20" t="s">
        <v>22</v>
      </c>
      <c r="F56" s="20" t="s">
        <v>23</v>
      </c>
    </row>
    <row r="57" spans="1:6" ht="16.5" thickBot="1" x14ac:dyDescent="0.3">
      <c r="A57" s="21" t="s">
        <v>56</v>
      </c>
      <c r="B57" s="21" t="s">
        <v>25</v>
      </c>
      <c r="C57" s="21" t="s">
        <v>26</v>
      </c>
      <c r="D57" s="21" t="s">
        <v>57</v>
      </c>
      <c r="E57" s="21" t="s">
        <v>28</v>
      </c>
      <c r="F57" s="21" t="s">
        <v>17</v>
      </c>
    </row>
    <row r="58" spans="1:6" ht="16.5" thickBot="1" x14ac:dyDescent="0.3">
      <c r="A58" s="47" t="s">
        <v>29</v>
      </c>
      <c r="B58" s="22" t="s">
        <v>30</v>
      </c>
      <c r="C58" s="23">
        <v>45033</v>
      </c>
      <c r="D58" s="47" t="s">
        <v>31</v>
      </c>
      <c r="E58" s="24" t="s">
        <v>32</v>
      </c>
      <c r="F58" s="25"/>
    </row>
    <row r="59" spans="1:6" ht="16.5" thickBot="1" x14ac:dyDescent="0.3">
      <c r="A59" s="48"/>
      <c r="B59" s="22" t="s">
        <v>33</v>
      </c>
      <c r="C59" s="27">
        <v>2</v>
      </c>
      <c r="D59" s="48"/>
      <c r="E59" s="24" t="s">
        <v>34</v>
      </c>
      <c r="F59" s="25"/>
    </row>
    <row r="60" spans="1:6" ht="16.5" thickBot="1" x14ac:dyDescent="0.3">
      <c r="A60" s="48"/>
      <c r="B60" s="22" t="s">
        <v>35</v>
      </c>
      <c r="C60" s="23">
        <v>45036</v>
      </c>
      <c r="D60" s="48"/>
      <c r="E60" s="24" t="s">
        <v>36</v>
      </c>
      <c r="F60" s="25"/>
    </row>
    <row r="61" spans="1:6" ht="16.5" thickBot="1" x14ac:dyDescent="0.3">
      <c r="A61" s="48"/>
      <c r="B61" s="22" t="s">
        <v>33</v>
      </c>
      <c r="C61" s="27">
        <f>IF(C60="","",IF(AND(MONTH(C60)&gt;=1,MONTH(C60)&lt;=3),1,IF(AND(MONTH(C60)&gt;=4,MONTH(C60)&lt;=6),2,IF(AND(MONTH(C60)&gt;=7,MONTH(C60)&lt;=9),3,4))))</f>
        <v>2</v>
      </c>
      <c r="D61" s="48"/>
      <c r="E61" s="24" t="s">
        <v>37</v>
      </c>
      <c r="F61" s="25"/>
    </row>
    <row r="62" spans="1:6" ht="16.5" thickBot="1" x14ac:dyDescent="0.3">
      <c r="A62" s="19"/>
      <c r="B62" s="19"/>
      <c r="C62" s="19"/>
      <c r="D62" s="19"/>
      <c r="E62" s="19"/>
      <c r="F62" s="19"/>
    </row>
    <row r="63" spans="1:6" ht="16.5" thickBot="1" x14ac:dyDescent="0.3">
      <c r="A63" s="28" t="s">
        <v>38</v>
      </c>
      <c r="B63" s="28" t="s">
        <v>39</v>
      </c>
      <c r="C63" s="28" t="s">
        <v>40</v>
      </c>
      <c r="D63" s="28" t="s">
        <v>41</v>
      </c>
      <c r="E63" s="28" t="s">
        <v>42</v>
      </c>
      <c r="F63" s="28" t="s">
        <v>43</v>
      </c>
    </row>
    <row r="64" spans="1:6" ht="15.75" x14ac:dyDescent="0.25">
      <c r="A64" s="29" t="s">
        <v>58</v>
      </c>
      <c r="B64" s="30" t="str">
        <f ca="1">IFERROR(INDEX(UNSPSCDes,MATCH(INDIRECT(ADDRESS(ROW(),COLUMN()-1,4)),UNSPSCCode,0)),IF(INDIRECT(ADDRESS(ROW(),COLUMN()-1,4))="44122104","Clips para papel",""))</f>
        <v>Clips para papel</v>
      </c>
      <c r="C64" s="31" t="str">
        <f>IFERROR(VLOOKUP("CAJ",'[1]Informacion '!P:Q,2,FALSE),"")</f>
        <v>Caja</v>
      </c>
      <c r="D64" s="29">
        <v>8</v>
      </c>
      <c r="E64" s="32">
        <v>400</v>
      </c>
      <c r="F64" s="33">
        <f t="shared" ref="F64:F109" ca="1" si="1">INDIRECT(ADDRESS(ROW(),COLUMN()-2,4))*INDIRECT(ADDRESS(ROW(),COLUMN()-1,4))</f>
        <v>3200</v>
      </c>
    </row>
    <row r="65" spans="1:6" ht="15.75" x14ac:dyDescent="0.25">
      <c r="A65" s="29" t="s">
        <v>59</v>
      </c>
      <c r="B65" s="30" t="str">
        <f ca="1">IFERROR(INDEX(UNSPSCDes,MATCH(INDIRECT(ADDRESS(ROW(),COLUMN()-1,4)),UNSPSCCode,0)),IF(INDIRECT(ADDRESS(ROW(),COLUMN()-1,4))="44121701","Bolígrafos",""))</f>
        <v>Bolígrafos</v>
      </c>
      <c r="C65" s="31" t="s">
        <v>60</v>
      </c>
      <c r="D65" s="29">
        <v>24</v>
      </c>
      <c r="E65" s="32">
        <v>200</v>
      </c>
      <c r="F65" s="33">
        <f t="shared" ca="1" si="1"/>
        <v>4800</v>
      </c>
    </row>
    <row r="66" spans="1:6" ht="15.75" x14ac:dyDescent="0.25">
      <c r="A66" s="29" t="s">
        <v>61</v>
      </c>
      <c r="B66" s="30" t="str">
        <f ca="1">IFERROR(INDEX(UNSPSCDes,MATCH(INDIRECT(ADDRESS(ROW(),COLUMN()-1,4)),UNSPSCCode,0)),IF(INDIRECT(ADDRESS(ROW(),COLUMN()-1,4))="44121706","Lápices de madera",""))</f>
        <v>Lápices de madera</v>
      </c>
      <c r="C66" s="31" t="str">
        <f>IFERROR(VLOOKUP("CAJ",'[1]Informacion '!P:Q,2,FALSE),"")</f>
        <v>Caja</v>
      </c>
      <c r="D66" s="29">
        <v>15</v>
      </c>
      <c r="E66" s="32">
        <v>160</v>
      </c>
      <c r="F66" s="33">
        <f t="shared" ca="1" si="1"/>
        <v>2400</v>
      </c>
    </row>
    <row r="67" spans="1:6" ht="15.75" x14ac:dyDescent="0.25">
      <c r="A67" s="29" t="s">
        <v>62</v>
      </c>
      <c r="B67" s="30" t="str">
        <f ca="1">IFERROR(INDEX(UNSPSCDes,MATCH(INDIRECT(ADDRESS(ROW(),COLUMN()-1,4)),UNSPSCCode,0)),IF(INDIRECT(ADDRESS(ROW(),COLUMN()-1,4))="44122005","Cubiertas para revistas o libros",""))</f>
        <v>Cubiertas para revistas o libros</v>
      </c>
      <c r="C67" s="31" t="str">
        <f>IFERROR(VLOOKUP("PAQ",'[1]Informacion '!P:Q,2,FALSE),"")</f>
        <v>Paquete</v>
      </c>
      <c r="D67" s="29">
        <v>10</v>
      </c>
      <c r="E67" s="32">
        <v>490</v>
      </c>
      <c r="F67" s="33">
        <f t="shared" ca="1" si="1"/>
        <v>4900</v>
      </c>
    </row>
    <row r="68" spans="1:6" ht="15.75" x14ac:dyDescent="0.25">
      <c r="A68" s="29" t="s">
        <v>63</v>
      </c>
      <c r="B68" s="30" t="str">
        <f ca="1">IFERROR(INDEX(UNSPSCDes,MATCH(INDIRECT(ADDRESS(ROW(),COLUMN()-1,4)),UNSPSCCode,0)),IF(INDIRECT(ADDRESS(ROW(),COLUMN()-1,4))="44121716","Resaltadores",""))</f>
        <v>Resaltadores</v>
      </c>
      <c r="C68" s="31" t="str">
        <f>IFERROR(VLOOKUP("CAJ",'[1]Informacion '!P:Q,2,FALSE),"")</f>
        <v>Caja</v>
      </c>
      <c r="D68" s="29">
        <v>3</v>
      </c>
      <c r="E68" s="32">
        <v>400</v>
      </c>
      <c r="F68" s="33">
        <f t="shared" ca="1" si="1"/>
        <v>1200</v>
      </c>
    </row>
    <row r="69" spans="1:6" ht="15.75" x14ac:dyDescent="0.25">
      <c r="A69" s="29" t="s">
        <v>64</v>
      </c>
      <c r="B69" s="30" t="str">
        <f ca="1">IFERROR(INDEX(UNSPSCDes,MATCH(INDIRECT(ADDRESS(ROW(),COLUMN()-1,4)),UNSPSCCode,0)),IF(INDIRECT(ADDRESS(ROW(),COLUMN()-1,4))="44121804","Borradores",""))</f>
        <v>Borradores</v>
      </c>
      <c r="C69" s="31" t="str">
        <f>IFERROR(VLOOKUP("UD",'[1]Informacion '!P:Q,2,FALSE),"")</f>
        <v>Unidad</v>
      </c>
      <c r="D69" s="29">
        <v>20</v>
      </c>
      <c r="E69" s="32">
        <v>20</v>
      </c>
      <c r="F69" s="33">
        <f t="shared" ca="1" si="1"/>
        <v>400</v>
      </c>
    </row>
    <row r="70" spans="1:6" ht="15.75" x14ac:dyDescent="0.25">
      <c r="A70" s="29" t="s">
        <v>65</v>
      </c>
      <c r="B70" s="30" t="str">
        <f ca="1">IFERROR(INDEX(UNSPSCDes,MATCH(INDIRECT(ADDRESS(ROW(),COLUMN()-1,4)),UNSPSCCode,0)),IF(INDIRECT(ADDRESS(ROW(),COLUMN()-1,4))="44101801","Calculadoras o accesorios",""))</f>
        <v>Calculadoras o accesorios</v>
      </c>
      <c r="C70" s="31" t="str">
        <f>IFERROR(VLOOKUP("UD",'[1]Informacion '!P:Q,2,FALSE),"")</f>
        <v>Unidad</v>
      </c>
      <c r="D70" s="29">
        <v>2</v>
      </c>
      <c r="E70" s="32">
        <v>8000</v>
      </c>
      <c r="F70" s="33">
        <f t="shared" ca="1" si="1"/>
        <v>16000</v>
      </c>
    </row>
    <row r="71" spans="1:6" ht="15.75" x14ac:dyDescent="0.25">
      <c r="A71" s="29" t="s">
        <v>66</v>
      </c>
      <c r="B71" s="30" t="str">
        <f ca="1">IFERROR(INDEX(UNSPSCDes,MATCH(INDIRECT(ADDRESS(ROW(),COLUMN()-1,4)),UNSPSCCode,0)),IF(INDIRECT(ADDRESS(ROW(),COLUMN()-1,4))="44121615","Grapadoras",""))</f>
        <v>Grapadoras</v>
      </c>
      <c r="C71" s="31" t="str">
        <f>IFERROR(VLOOKUP("UD",'[1]Informacion '!P:Q,2,FALSE),"")</f>
        <v>Unidad</v>
      </c>
      <c r="D71" s="29">
        <v>10</v>
      </c>
      <c r="E71" s="32">
        <v>600</v>
      </c>
      <c r="F71" s="33">
        <f t="shared" ca="1" si="1"/>
        <v>6000</v>
      </c>
    </row>
    <row r="72" spans="1:6" ht="31.5" x14ac:dyDescent="0.25">
      <c r="A72" s="29" t="s">
        <v>67</v>
      </c>
      <c r="B72" s="30" t="str">
        <f ca="1">IFERROR(INDEX(UNSPSCDes,MATCH(INDIRECT(ADDRESS(ROW(),COLUMN()-1,4)),UNSPSCCode,0)),IF(INDIRECT(ADDRESS(ROW(),COLUMN()-1,4))="44111503","Organizadores o bandejas para el escritorio",""))</f>
        <v>Organizadores o bandejas para el escritorio</v>
      </c>
      <c r="C72" s="31" t="str">
        <f>IFERROR(VLOOKUP("UD",'[1]Informacion '!P:Q,2,FALSE),"")</f>
        <v>Unidad</v>
      </c>
      <c r="D72" s="29">
        <v>20</v>
      </c>
      <c r="E72" s="32">
        <v>200</v>
      </c>
      <c r="F72" s="33">
        <f t="shared" ca="1" si="1"/>
        <v>4000</v>
      </c>
    </row>
    <row r="73" spans="1:6" ht="15.75" x14ac:dyDescent="0.25">
      <c r="A73" s="29" t="s">
        <v>68</v>
      </c>
      <c r="B73" s="30" t="str">
        <f ca="1">IFERROR(INDEX(UNSPSCDes,MATCH(INDIRECT(ADDRESS(ROW(),COLUMN()-1,4)),UNSPSCCode,0)),IF(INDIRECT(ADDRESS(ROW(),COLUMN()-1,4))="44121618","Tijeras",""))</f>
        <v>Tijeras</v>
      </c>
      <c r="C73" s="31" t="str">
        <f>IFERROR(VLOOKUP("UD",'[1]Informacion '!P:Q,2,FALSE),"")</f>
        <v>Unidad</v>
      </c>
      <c r="D73" s="29">
        <v>17</v>
      </c>
      <c r="E73" s="32">
        <v>150</v>
      </c>
      <c r="F73" s="33">
        <f t="shared" ca="1" si="1"/>
        <v>2550</v>
      </c>
    </row>
    <row r="74" spans="1:6" ht="15.75" x14ac:dyDescent="0.25">
      <c r="A74" s="29" t="s">
        <v>69</v>
      </c>
      <c r="B74" s="30" t="str">
        <f ca="1">IFERROR(INDEX(UNSPSCDes,MATCH(INDIRECT(ADDRESS(ROW(),COLUMN()-1,4)),UNSPSCCode,0)),IF(INDIRECT(ADDRESS(ROW(),COLUMN()-1,4))="45101803","Máquinas perforadoras de libros",""))</f>
        <v>Máquinas perforadoras de libros</v>
      </c>
      <c r="C74" s="31" t="str">
        <f>IFERROR(VLOOKUP("UD",'[1]Informacion '!P:Q,2,FALSE),"")</f>
        <v>Unidad</v>
      </c>
      <c r="D74" s="29">
        <v>4</v>
      </c>
      <c r="E74" s="32">
        <v>800</v>
      </c>
      <c r="F74" s="33">
        <f t="shared" ca="1" si="1"/>
        <v>3200</v>
      </c>
    </row>
    <row r="75" spans="1:6" ht="15.75" x14ac:dyDescent="0.25">
      <c r="A75" s="29" t="s">
        <v>70</v>
      </c>
      <c r="B75" s="30" t="str">
        <f ca="1">IFERROR(INDEX(UNSPSCDes,MATCH(INDIRECT(ADDRESS(ROW(),COLUMN()-1,4)),UNSPSCCode,0)),IF(INDIRECT(ADDRESS(ROW(),COLUMN()-1,4))="14111802","Recibos o libros de recibos",""))</f>
        <v>Recibos o libros de recibos</v>
      </c>
      <c r="C75" s="31" t="str">
        <f>IFERROR(VLOOKUP("UD",'[1]Informacion '!P:Q,2,FALSE),"")</f>
        <v>Unidad</v>
      </c>
      <c r="D75" s="29">
        <v>2</v>
      </c>
      <c r="E75" s="32">
        <v>1400</v>
      </c>
      <c r="F75" s="33">
        <f t="shared" ca="1" si="1"/>
        <v>2800</v>
      </c>
    </row>
    <row r="76" spans="1:6" ht="15.75" x14ac:dyDescent="0.25">
      <c r="A76" s="29" t="s">
        <v>71</v>
      </c>
      <c r="B76" s="30" t="str">
        <f ca="1">IFERROR(INDEX(UNSPSCDes,MATCH(INDIRECT(ADDRESS(ROW(),COLUMN()-1,4)),UNSPSCCode,0)),IF(INDIRECT(ADDRESS(ROW(),COLUMN()-1,4))="86131502","Pintura",""))</f>
        <v>Pintura</v>
      </c>
      <c r="C76" s="31" t="s">
        <v>72</v>
      </c>
      <c r="D76" s="29">
        <v>10</v>
      </c>
      <c r="E76" s="32">
        <v>6000</v>
      </c>
      <c r="F76" s="33">
        <f t="shared" ca="1" si="1"/>
        <v>60000</v>
      </c>
    </row>
    <row r="77" spans="1:6" ht="15.75" x14ac:dyDescent="0.25">
      <c r="A77" s="29" t="s">
        <v>71</v>
      </c>
      <c r="B77" s="30" t="str">
        <f ca="1">IFERROR(INDEX(UNSPSCDes,MATCH(INDIRECT(ADDRESS(ROW(),COLUMN()-1,4)),UNSPSCCode,0)),IF(INDIRECT(ADDRESS(ROW(),COLUMN()-1,4))="86131502","Pintura",""))</f>
        <v>Pintura</v>
      </c>
      <c r="C77" s="31" t="str">
        <f>IFERROR(VLOOKUP("UD",'[1]Informacion '!P:Q,2,FALSE),"")</f>
        <v>Unidad</v>
      </c>
      <c r="D77" s="29">
        <v>2</v>
      </c>
      <c r="E77" s="32">
        <v>212.35</v>
      </c>
      <c r="F77" s="33">
        <f t="shared" ca="1" si="1"/>
        <v>424.7</v>
      </c>
    </row>
    <row r="78" spans="1:6" ht="15.75" x14ac:dyDescent="0.25">
      <c r="A78" s="29" t="s">
        <v>73</v>
      </c>
      <c r="B78" s="30" t="str">
        <f ca="1">IFERROR(INDEX(UNSPSCDes,MATCH(INDIRECT(ADDRESS(ROW(),COLUMN()-1,4)),UNSPSCCode,0)),IF(INDIRECT(ADDRESS(ROW(),COLUMN()-1,4))="11162116","Tela de fique o estopa",""))</f>
        <v>Tela de fique o estopa</v>
      </c>
      <c r="C78" s="31" t="str">
        <f>IFERROR(VLOOKUP("UD",'[1]Informacion '!P:Q,2,FALSE),"")</f>
        <v>Unidad</v>
      </c>
      <c r="D78" s="29">
        <v>2</v>
      </c>
      <c r="E78" s="32">
        <v>400</v>
      </c>
      <c r="F78" s="33">
        <f t="shared" ca="1" si="1"/>
        <v>800</v>
      </c>
    </row>
    <row r="79" spans="1:6" ht="15.75" x14ac:dyDescent="0.25">
      <c r="A79" s="29" t="s">
        <v>74</v>
      </c>
      <c r="B79" s="30" t="str">
        <f ca="1">IFERROR(INDEX(UNSPSCDes,MATCH(INDIRECT(ADDRESS(ROW(),COLUMN()-1,4)),UNSPSCCode,0)),IF(INDIRECT(ADDRESS(ROW(),COLUMN()-1,4))="43201803","Unidades de disco duro",""))</f>
        <v>Unidades de disco duro</v>
      </c>
      <c r="C79" s="31" t="str">
        <f>IFERROR(VLOOKUP("UD",'[1]Informacion '!P:Q,2,FALSE),"")</f>
        <v>Unidad</v>
      </c>
      <c r="D79" s="29">
        <v>4</v>
      </c>
      <c r="E79" s="32">
        <v>8000</v>
      </c>
      <c r="F79" s="33">
        <f t="shared" ca="1" si="1"/>
        <v>32000</v>
      </c>
    </row>
    <row r="80" spans="1:6" ht="15.75" x14ac:dyDescent="0.25">
      <c r="A80" s="29" t="s">
        <v>75</v>
      </c>
      <c r="B80" s="30" t="str">
        <f ca="1">IFERROR(INDEX(UNSPSCDes,MATCH(INDIRECT(ADDRESS(ROW(),COLUMN()-1,4)),UNSPSCCode,0)),IF(INDIRECT(ADDRESS(ROW(),COLUMN()-1,4))="43212110","Impresoras de múltiples funciones",""))</f>
        <v>Impresoras de múltiples funciones</v>
      </c>
      <c r="C80" s="31" t="str">
        <f>IFERROR(VLOOKUP("UD",'[1]Informacion '!P:Q,2,FALSE),"")</f>
        <v>Unidad</v>
      </c>
      <c r="D80" s="29">
        <v>4</v>
      </c>
      <c r="E80" s="32">
        <v>36000</v>
      </c>
      <c r="F80" s="33">
        <f t="shared" ca="1" si="1"/>
        <v>144000</v>
      </c>
    </row>
    <row r="81" spans="1:6" ht="15.75" x14ac:dyDescent="0.25">
      <c r="A81" s="29" t="s">
        <v>76</v>
      </c>
      <c r="B81" s="30" t="str">
        <f ca="1">IFERROR(INDEX(UNSPSCDes,MATCH(INDIRECT(ADDRESS(ROW(),COLUMN()-1,4)),UNSPSCCode,0)),IF(INDIRECT(ADDRESS(ROW(),COLUMN()-1,4))="44101805","Cintas para calculadoras",""))</f>
        <v>Cintas para calculadoras</v>
      </c>
      <c r="C81" s="31" t="str">
        <f>IFERROR(VLOOKUP("UD",'[1]Informacion '!P:Q,2,FALSE),"")</f>
        <v>Unidad</v>
      </c>
      <c r="D81" s="29">
        <v>4</v>
      </c>
      <c r="E81" s="32">
        <v>120</v>
      </c>
      <c r="F81" s="33">
        <f t="shared" ca="1" si="1"/>
        <v>480</v>
      </c>
    </row>
    <row r="82" spans="1:6" ht="15.75" x14ac:dyDescent="0.25">
      <c r="A82" s="29" t="s">
        <v>77</v>
      </c>
      <c r="B82" s="30" t="str">
        <f ca="1">IFERROR(INDEX(UNSPSCDes,MATCH(INDIRECT(ADDRESS(ROW(),COLUMN()-1,4)),UNSPSCCode,0)),IF(INDIRECT(ADDRESS(ROW(),COLUMN()-1,4))="31201610","Pegamentos",""))</f>
        <v>Pegamentos</v>
      </c>
      <c r="C82" s="31" t="str">
        <f>IFERROR(VLOOKUP("UD",'[1]Informacion '!P:Q,2,FALSE),"")</f>
        <v>Unidad</v>
      </c>
      <c r="D82" s="29">
        <v>12</v>
      </c>
      <c r="E82" s="32">
        <v>60</v>
      </c>
      <c r="F82" s="33">
        <f t="shared" ca="1" si="1"/>
        <v>720</v>
      </c>
    </row>
    <row r="83" spans="1:6" ht="15.75" x14ac:dyDescent="0.25">
      <c r="A83" s="29" t="s">
        <v>77</v>
      </c>
      <c r="B83" s="30" t="str">
        <f ca="1">IFERROR(INDEX(UNSPSCDes,MATCH(INDIRECT(ADDRESS(ROW(),COLUMN()-1,4)),UNSPSCCode,0)),IF(INDIRECT(ADDRESS(ROW(),COLUMN()-1,4))="31201610","Pegamentos",""))</f>
        <v>Pegamentos</v>
      </c>
      <c r="C83" s="31" t="str">
        <f>IFERROR(VLOOKUP("UD",'[1]Informacion '!P:Q,2,FALSE),"")</f>
        <v>Unidad</v>
      </c>
      <c r="D83" s="29">
        <v>6</v>
      </c>
      <c r="E83" s="32">
        <v>300</v>
      </c>
      <c r="F83" s="33">
        <f t="shared" ca="1" si="1"/>
        <v>1800</v>
      </c>
    </row>
    <row r="84" spans="1:6" ht="15.75" x14ac:dyDescent="0.25">
      <c r="A84" s="29" t="s">
        <v>78</v>
      </c>
      <c r="B84" s="30" t="str">
        <f ca="1">IFERROR(INDEX(UNSPSCDes,MATCH(INDIRECT(ADDRESS(ROW(),COLUMN()-1,4)),UNSPSCCode,0)),IF(INDIRECT(ADDRESS(ROW(),COLUMN()-1,4))="31201505","Cinta doble faz",""))</f>
        <v>Cinta doble faz</v>
      </c>
      <c r="C84" s="31" t="str">
        <f>IFERROR(VLOOKUP("UD",'[1]Informacion '!P:Q,2,FALSE),"")</f>
        <v>Unidad</v>
      </c>
      <c r="D84" s="29">
        <v>2</v>
      </c>
      <c r="E84" s="32">
        <v>2300</v>
      </c>
      <c r="F84" s="33">
        <f t="shared" ca="1" si="1"/>
        <v>4600</v>
      </c>
    </row>
    <row r="85" spans="1:6" ht="15.75" x14ac:dyDescent="0.25">
      <c r="A85" s="29" t="s">
        <v>79</v>
      </c>
      <c r="B85" s="30" t="str">
        <f ca="1">IFERROR(INDEX(UNSPSCDes,MATCH(INDIRECT(ADDRESS(ROW(),COLUMN()-1,4)),UNSPSCCode,0)),IF(INDIRECT(ADDRESS(ROW(),COLUMN()-1,4))="31201512","Cinta transparente",""))</f>
        <v>Cinta transparente</v>
      </c>
      <c r="C85" s="31" t="str">
        <f>IFERROR(VLOOKUP("UD",'[1]Informacion '!P:Q,2,FALSE),"")</f>
        <v>Unidad</v>
      </c>
      <c r="D85" s="29">
        <v>40</v>
      </c>
      <c r="E85" s="32">
        <v>50</v>
      </c>
      <c r="F85" s="33">
        <f t="shared" ca="1" si="1"/>
        <v>2000</v>
      </c>
    </row>
    <row r="86" spans="1:6" ht="15.75" x14ac:dyDescent="0.25">
      <c r="A86" s="29" t="s">
        <v>79</v>
      </c>
      <c r="B86" s="30" t="str">
        <f ca="1">IFERROR(INDEX(UNSPSCDes,MATCH(INDIRECT(ADDRESS(ROW(),COLUMN()-1,4)),UNSPSCCode,0)),IF(INDIRECT(ADDRESS(ROW(),COLUMN()-1,4))="31201512","Cinta transparente",""))</f>
        <v>Cinta transparente</v>
      </c>
      <c r="C86" s="31" t="str">
        <f>IFERROR(VLOOKUP("UD",'[1]Informacion '!P:Q,2,FALSE),"")</f>
        <v>Unidad</v>
      </c>
      <c r="D86" s="29">
        <v>40</v>
      </c>
      <c r="E86" s="32">
        <v>400</v>
      </c>
      <c r="F86" s="33">
        <f t="shared" ca="1" si="1"/>
        <v>16000</v>
      </c>
    </row>
    <row r="87" spans="1:6" ht="31.5" x14ac:dyDescent="0.25">
      <c r="A87" s="29" t="s">
        <v>80</v>
      </c>
      <c r="B87" s="30" t="str">
        <f ca="1">IFERROR(INDEX(UNSPSCDes,MATCH(INDIRECT(ADDRESS(ROW(),COLUMN()-1,4)),UNSPSCCode,0)),IF(INDIRECT(ADDRESS(ROW(),COLUMN()-1,4))="41111501","Balanzas de carga superior electrónicos",""))</f>
        <v>Balanzas de carga superior electrónicos</v>
      </c>
      <c r="C87" s="31" t="str">
        <f>IFERROR(VLOOKUP("UD",'[1]Informacion '!P:Q,2,FALSE),"")</f>
        <v>Unidad</v>
      </c>
      <c r="D87" s="29">
        <v>4</v>
      </c>
      <c r="E87" s="32">
        <v>1800</v>
      </c>
      <c r="F87" s="33">
        <f t="shared" ca="1" si="1"/>
        <v>7200</v>
      </c>
    </row>
    <row r="88" spans="1:6" ht="15.75" x14ac:dyDescent="0.25">
      <c r="A88" s="29" t="s">
        <v>81</v>
      </c>
      <c r="B88" s="30" t="str">
        <f ca="1">IFERROR(INDEX(UNSPSCDes,MATCH(INDIRECT(ADDRESS(ROW(),COLUMN()-1,4)),UNSPSCCode,0)),IF(INDIRECT(ADDRESS(ROW(),COLUMN()-1,4))="44103103","Tóner para impresoras o fax",""))</f>
        <v>Tóner para impresoras o fax</v>
      </c>
      <c r="C88" s="31" t="str">
        <f>IFERROR(VLOOKUP("UD",'[1]Informacion '!P:Q,2,FALSE),"")</f>
        <v>Unidad</v>
      </c>
      <c r="D88" s="29">
        <v>6</v>
      </c>
      <c r="E88" s="32">
        <v>5000</v>
      </c>
      <c r="F88" s="33">
        <f t="shared" ca="1" si="1"/>
        <v>30000</v>
      </c>
    </row>
    <row r="89" spans="1:6" ht="15.75" x14ac:dyDescent="0.25">
      <c r="A89" s="29" t="s">
        <v>81</v>
      </c>
      <c r="B89" s="30" t="str">
        <f ca="1">IFERROR(INDEX(UNSPSCDes,MATCH(INDIRECT(ADDRESS(ROW(),COLUMN()-1,4)),UNSPSCCode,0)),IF(INDIRECT(ADDRESS(ROW(),COLUMN()-1,4))="44103103","Tóner para impresoras o fax",""))</f>
        <v>Tóner para impresoras o fax</v>
      </c>
      <c r="C89" s="31" t="str">
        <f>IFERROR(VLOOKUP("UD",'[1]Informacion '!P:Q,2,FALSE),"")</f>
        <v>Unidad</v>
      </c>
      <c r="D89" s="29">
        <v>2</v>
      </c>
      <c r="E89" s="32">
        <v>4500</v>
      </c>
      <c r="F89" s="33">
        <f t="shared" ca="1" si="1"/>
        <v>9000</v>
      </c>
    </row>
    <row r="90" spans="1:6" ht="15.75" x14ac:dyDescent="0.25">
      <c r="A90" s="29" t="s">
        <v>81</v>
      </c>
      <c r="B90" s="30" t="str">
        <f ca="1">IFERROR(INDEX(UNSPSCDes,MATCH(INDIRECT(ADDRESS(ROW(),COLUMN()-1,4)),UNSPSCCode,0)),IF(INDIRECT(ADDRESS(ROW(),COLUMN()-1,4))="44103103","Tóner para impresoras o fax",""))</f>
        <v>Tóner para impresoras o fax</v>
      </c>
      <c r="C90" s="31" t="str">
        <f>IFERROR(VLOOKUP("UD",'[1]Informacion '!P:Q,2,FALSE),"")</f>
        <v>Unidad</v>
      </c>
      <c r="D90" s="29">
        <v>10</v>
      </c>
      <c r="E90" s="32">
        <v>4500</v>
      </c>
      <c r="F90" s="33">
        <f t="shared" ca="1" si="1"/>
        <v>45000</v>
      </c>
    </row>
    <row r="91" spans="1:6" ht="15.75" x14ac:dyDescent="0.25">
      <c r="A91" s="29" t="s">
        <v>81</v>
      </c>
      <c r="B91" s="30" t="str">
        <f ca="1">IFERROR(INDEX(UNSPSCDes,MATCH(INDIRECT(ADDRESS(ROW(),COLUMN()-1,4)),UNSPSCCode,0)),IF(INDIRECT(ADDRESS(ROW(),COLUMN()-1,4))="44103103","Tóner para impresoras o fax",""))</f>
        <v>Tóner para impresoras o fax</v>
      </c>
      <c r="C91" s="31" t="str">
        <f>IFERROR(VLOOKUP("UD",'[1]Informacion '!P:Q,2,FALSE),"")</f>
        <v>Unidad</v>
      </c>
      <c r="D91" s="29">
        <v>4</v>
      </c>
      <c r="E91" s="32">
        <v>4500</v>
      </c>
      <c r="F91" s="33">
        <f t="shared" ca="1" si="1"/>
        <v>18000</v>
      </c>
    </row>
    <row r="92" spans="1:6" ht="15.75" x14ac:dyDescent="0.25">
      <c r="A92" s="29" t="s">
        <v>81</v>
      </c>
      <c r="B92" s="30" t="str">
        <f ca="1">IFERROR(INDEX(UNSPSCDes,MATCH(INDIRECT(ADDRESS(ROW(),COLUMN()-1,4)),UNSPSCCode,0)),IF(INDIRECT(ADDRESS(ROW(),COLUMN()-1,4))="44103103","Tóner para impresoras o fax",""))</f>
        <v>Tóner para impresoras o fax</v>
      </c>
      <c r="C92" s="31" t="str">
        <f>IFERROR(VLOOKUP("UD",'[1]Informacion '!P:Q,2,FALSE),"")</f>
        <v>Unidad</v>
      </c>
      <c r="D92" s="29">
        <v>4</v>
      </c>
      <c r="E92" s="32">
        <v>1500</v>
      </c>
      <c r="F92" s="33">
        <f t="shared" ca="1" si="1"/>
        <v>6000</v>
      </c>
    </row>
    <row r="93" spans="1:6" ht="15.75" x14ac:dyDescent="0.25">
      <c r="A93" s="29" t="s">
        <v>82</v>
      </c>
      <c r="B93" s="30" t="str">
        <f ca="1">IFERROR(INDEX(UNSPSCDes,MATCH(INDIRECT(ADDRESS(ROW(),COLUMN()-1,4)),UNSPSCCode,0)),IF(INDIRECT(ADDRESS(ROW(),COLUMN()-1,4))="44103105","Cartuchos de tinta",""))</f>
        <v>Cartuchos de tinta</v>
      </c>
      <c r="C93" s="31" t="str">
        <f>IFERROR(VLOOKUP("UD",'[1]Informacion '!P:Q,2,FALSE),"")</f>
        <v>Unidad</v>
      </c>
      <c r="D93" s="29">
        <v>2</v>
      </c>
      <c r="E93" s="32">
        <v>1800</v>
      </c>
      <c r="F93" s="33">
        <f t="shared" ca="1" si="1"/>
        <v>3600</v>
      </c>
    </row>
    <row r="94" spans="1:6" ht="15.75" x14ac:dyDescent="0.25">
      <c r="A94" s="29" t="s">
        <v>82</v>
      </c>
      <c r="B94" s="30" t="str">
        <f ca="1">IFERROR(INDEX(UNSPSCDes,MATCH(INDIRECT(ADDRESS(ROW(),COLUMN()-1,4)),UNSPSCCode,0)),IF(INDIRECT(ADDRESS(ROW(),COLUMN()-1,4))="44103105","Cartuchos de tinta",""))</f>
        <v>Cartuchos de tinta</v>
      </c>
      <c r="C94" s="31" t="str">
        <f>IFERROR(VLOOKUP("UD",'[1]Informacion '!P:Q,2,FALSE),"")</f>
        <v>Unidad</v>
      </c>
      <c r="D94" s="29">
        <v>2</v>
      </c>
      <c r="E94" s="32">
        <v>2000</v>
      </c>
      <c r="F94" s="33">
        <f t="shared" ca="1" si="1"/>
        <v>4000</v>
      </c>
    </row>
    <row r="95" spans="1:6" ht="15.75" x14ac:dyDescent="0.25">
      <c r="A95" s="29" t="s">
        <v>81</v>
      </c>
      <c r="B95" s="30" t="str">
        <f t="shared" ref="B95:B109" ca="1" si="2">IFERROR(INDEX(UNSPSCDes,MATCH(INDIRECT(ADDRESS(ROW(),COLUMN()-1,4)),UNSPSCCode,0)),IF(INDIRECT(ADDRESS(ROW(),COLUMN()-1,4))="44103103","Tóner para impresoras o fax",""))</f>
        <v>Tóner para impresoras o fax</v>
      </c>
      <c r="C95" s="31" t="str">
        <f>IFERROR(VLOOKUP("UD",'[1]Informacion '!P:Q,2,FALSE),"")</f>
        <v>Unidad</v>
      </c>
      <c r="D95" s="29">
        <v>2</v>
      </c>
      <c r="E95" s="32">
        <v>5500</v>
      </c>
      <c r="F95" s="33">
        <f t="shared" ca="1" si="1"/>
        <v>11000</v>
      </c>
    </row>
    <row r="96" spans="1:6" ht="15.75" x14ac:dyDescent="0.25">
      <c r="A96" s="29" t="s">
        <v>81</v>
      </c>
      <c r="B96" s="30" t="str">
        <f t="shared" ca="1" si="2"/>
        <v>Tóner para impresoras o fax</v>
      </c>
      <c r="C96" s="31" t="str">
        <f>IFERROR(VLOOKUP("UD",'[1]Informacion '!P:Q,2,FALSE),"")</f>
        <v>Unidad</v>
      </c>
      <c r="D96" s="29">
        <v>1</v>
      </c>
      <c r="E96" s="32">
        <v>13000</v>
      </c>
      <c r="F96" s="33">
        <f t="shared" ca="1" si="1"/>
        <v>13000</v>
      </c>
    </row>
    <row r="97" spans="1:6" ht="15.75" x14ac:dyDescent="0.25">
      <c r="A97" s="29" t="s">
        <v>81</v>
      </c>
      <c r="B97" s="30" t="str">
        <f t="shared" ca="1" si="2"/>
        <v>Tóner para impresoras o fax</v>
      </c>
      <c r="C97" s="31" t="str">
        <f>IFERROR(VLOOKUP("UD",'[1]Informacion '!P:Q,2,FALSE),"")</f>
        <v>Unidad</v>
      </c>
      <c r="D97" s="29">
        <v>7</v>
      </c>
      <c r="E97" s="32">
        <v>4500</v>
      </c>
      <c r="F97" s="33">
        <f t="shared" ca="1" si="1"/>
        <v>31500</v>
      </c>
    </row>
    <row r="98" spans="1:6" ht="15.75" x14ac:dyDescent="0.25">
      <c r="A98" s="29" t="s">
        <v>81</v>
      </c>
      <c r="B98" s="30" t="str">
        <f t="shared" ca="1" si="2"/>
        <v>Tóner para impresoras o fax</v>
      </c>
      <c r="C98" s="31" t="str">
        <f>IFERROR(VLOOKUP("UD",'[1]Informacion '!P:Q,2,FALSE),"")</f>
        <v>Unidad</v>
      </c>
      <c r="D98" s="29">
        <v>2</v>
      </c>
      <c r="E98" s="32">
        <v>3000</v>
      </c>
      <c r="F98" s="33">
        <f t="shared" ca="1" si="1"/>
        <v>6000</v>
      </c>
    </row>
    <row r="99" spans="1:6" ht="15.75" x14ac:dyDescent="0.25">
      <c r="A99" s="29" t="s">
        <v>81</v>
      </c>
      <c r="B99" s="30" t="str">
        <f t="shared" ca="1" si="2"/>
        <v>Tóner para impresoras o fax</v>
      </c>
      <c r="C99" s="31" t="str">
        <f>IFERROR(VLOOKUP("UD",'[1]Informacion '!P:Q,2,FALSE),"")</f>
        <v>Unidad</v>
      </c>
      <c r="D99" s="29">
        <v>10</v>
      </c>
      <c r="E99" s="32">
        <v>3000</v>
      </c>
      <c r="F99" s="33">
        <f t="shared" ca="1" si="1"/>
        <v>30000</v>
      </c>
    </row>
    <row r="100" spans="1:6" ht="15.75" x14ac:dyDescent="0.25">
      <c r="A100" s="29" t="s">
        <v>81</v>
      </c>
      <c r="B100" s="30" t="str">
        <f t="shared" ca="1" si="2"/>
        <v>Tóner para impresoras o fax</v>
      </c>
      <c r="C100" s="31" t="str">
        <f>IFERROR(VLOOKUP("UD",'[1]Informacion '!P:Q,2,FALSE),"")</f>
        <v>Unidad</v>
      </c>
      <c r="D100" s="29">
        <v>3</v>
      </c>
      <c r="E100" s="32">
        <v>3000</v>
      </c>
      <c r="F100" s="33">
        <f t="shared" ca="1" si="1"/>
        <v>9000</v>
      </c>
    </row>
    <row r="101" spans="1:6" ht="15.75" x14ac:dyDescent="0.25">
      <c r="A101" s="29" t="s">
        <v>81</v>
      </c>
      <c r="B101" s="30" t="str">
        <f t="shared" ca="1" si="2"/>
        <v>Tóner para impresoras o fax</v>
      </c>
      <c r="C101" s="31" t="str">
        <f>IFERROR(VLOOKUP("UD",'[1]Informacion '!P:Q,2,FALSE),"")</f>
        <v>Unidad</v>
      </c>
      <c r="D101" s="29">
        <v>8</v>
      </c>
      <c r="E101" s="32">
        <v>6000</v>
      </c>
      <c r="F101" s="33">
        <f t="shared" ca="1" si="1"/>
        <v>48000</v>
      </c>
    </row>
    <row r="102" spans="1:6" ht="15.75" x14ac:dyDescent="0.25">
      <c r="A102" s="29" t="s">
        <v>81</v>
      </c>
      <c r="B102" s="30" t="str">
        <f t="shared" ca="1" si="2"/>
        <v>Tóner para impresoras o fax</v>
      </c>
      <c r="C102" s="31" t="str">
        <f>IFERROR(VLOOKUP("UD",'[1]Informacion '!P:Q,2,FALSE),"")</f>
        <v>Unidad</v>
      </c>
      <c r="D102" s="29">
        <v>2</v>
      </c>
      <c r="E102" s="32">
        <v>5000</v>
      </c>
      <c r="F102" s="33">
        <f t="shared" ca="1" si="1"/>
        <v>10000</v>
      </c>
    </row>
    <row r="103" spans="1:6" ht="15.75" x14ac:dyDescent="0.25">
      <c r="A103" s="29" t="s">
        <v>81</v>
      </c>
      <c r="B103" s="30" t="str">
        <f t="shared" ca="1" si="2"/>
        <v>Tóner para impresoras o fax</v>
      </c>
      <c r="C103" s="31" t="str">
        <f>IFERROR(VLOOKUP("UD",'[1]Informacion '!P:Q,2,FALSE),"")</f>
        <v>Unidad</v>
      </c>
      <c r="D103" s="29">
        <v>8</v>
      </c>
      <c r="E103" s="32">
        <v>3000</v>
      </c>
      <c r="F103" s="33">
        <f t="shared" ca="1" si="1"/>
        <v>24000</v>
      </c>
    </row>
    <row r="104" spans="1:6" ht="15.75" x14ac:dyDescent="0.25">
      <c r="A104" s="29" t="s">
        <v>81</v>
      </c>
      <c r="B104" s="30" t="str">
        <f t="shared" ca="1" si="2"/>
        <v>Tóner para impresoras o fax</v>
      </c>
      <c r="C104" s="31" t="str">
        <f>IFERROR(VLOOKUP("UD",'[1]Informacion '!P:Q,2,FALSE),"")</f>
        <v>Unidad</v>
      </c>
      <c r="D104" s="29">
        <v>4</v>
      </c>
      <c r="E104" s="32">
        <v>3000</v>
      </c>
      <c r="F104" s="33">
        <f t="shared" ca="1" si="1"/>
        <v>12000</v>
      </c>
    </row>
    <row r="105" spans="1:6" ht="15.75" x14ac:dyDescent="0.25">
      <c r="A105" s="29">
        <v>14111530</v>
      </c>
      <c r="B105" s="30" t="str">
        <f t="shared" ca="1" si="2"/>
        <v>Papel de notas autoadhesivas</v>
      </c>
      <c r="C105" s="31" t="s">
        <v>83</v>
      </c>
      <c r="D105" s="29">
        <v>20</v>
      </c>
      <c r="E105" s="32">
        <v>400</v>
      </c>
      <c r="F105" s="33">
        <f t="shared" ca="1" si="1"/>
        <v>8000</v>
      </c>
    </row>
    <row r="106" spans="1:6" ht="15.75" x14ac:dyDescent="0.25">
      <c r="A106" s="29">
        <v>32101608</v>
      </c>
      <c r="B106" s="30" t="str">
        <f t="shared" ca="1" si="2"/>
        <v>Memoria de sólo lectura (rom)</v>
      </c>
      <c r="C106" s="31" t="s">
        <v>72</v>
      </c>
      <c r="D106" s="29">
        <v>20</v>
      </c>
      <c r="E106" s="32">
        <v>1200</v>
      </c>
      <c r="F106" s="33">
        <f t="shared" ca="1" si="1"/>
        <v>24000</v>
      </c>
    </row>
    <row r="107" spans="1:6" ht="15.75" x14ac:dyDescent="0.25">
      <c r="A107" s="29">
        <v>26111702</v>
      </c>
      <c r="B107" s="30" t="str">
        <f t="shared" ca="1" si="2"/>
        <v>Pilas alcalinas</v>
      </c>
      <c r="C107" s="31" t="s">
        <v>83</v>
      </c>
      <c r="D107" s="29">
        <v>5</v>
      </c>
      <c r="E107" s="32">
        <v>1300</v>
      </c>
      <c r="F107" s="33">
        <f t="shared" ca="1" si="1"/>
        <v>6500</v>
      </c>
    </row>
    <row r="108" spans="1:6" ht="15.75" x14ac:dyDescent="0.25">
      <c r="A108" s="29">
        <v>44122017</v>
      </c>
      <c r="B108" s="30" t="str">
        <f t="shared" ca="1" si="2"/>
        <v>Folders de colgar o accesorios</v>
      </c>
      <c r="C108" s="31" t="s">
        <v>60</v>
      </c>
      <c r="D108" s="29">
        <v>10</v>
      </c>
      <c r="E108" s="32">
        <v>500</v>
      </c>
      <c r="F108" s="33">
        <f t="shared" ca="1" si="1"/>
        <v>5000</v>
      </c>
    </row>
    <row r="109" spans="1:6" ht="15.75" x14ac:dyDescent="0.25">
      <c r="A109" s="29">
        <v>44122010</v>
      </c>
      <c r="B109" s="30" t="str">
        <f t="shared" ca="1" si="2"/>
        <v>Separadores</v>
      </c>
      <c r="C109" s="31" t="s">
        <v>83</v>
      </c>
      <c r="D109" s="29">
        <v>50</v>
      </c>
      <c r="E109" s="32">
        <v>40</v>
      </c>
      <c r="F109" s="33">
        <f t="shared" ca="1" si="1"/>
        <v>2000</v>
      </c>
    </row>
    <row r="110" spans="1:6" ht="15.75" x14ac:dyDescent="0.25">
      <c r="A110" s="19"/>
      <c r="B110" s="19"/>
      <c r="C110" s="19"/>
      <c r="D110" s="19"/>
      <c r="E110" s="34" t="s">
        <v>46</v>
      </c>
      <c r="F110" s="35">
        <f ca="1">SUM(Table7[MONTO TOTAL ESTIMADO])</f>
        <v>677074.7</v>
      </c>
    </row>
    <row r="111" spans="1:6" ht="16.5" thickBot="1" x14ac:dyDescent="0.3">
      <c r="A111" s="19"/>
      <c r="B111" s="19"/>
      <c r="C111" s="19"/>
      <c r="D111" s="19"/>
      <c r="E111" s="19"/>
      <c r="F111" s="19"/>
    </row>
    <row r="112" spans="1:6" ht="32.25" thickBot="1" x14ac:dyDescent="0.3">
      <c r="A112" s="20" t="s">
        <v>18</v>
      </c>
      <c r="B112" s="20" t="s">
        <v>19</v>
      </c>
      <c r="C112" s="20" t="s">
        <v>20</v>
      </c>
      <c r="D112" s="20" t="s">
        <v>21</v>
      </c>
      <c r="E112" s="20" t="s">
        <v>22</v>
      </c>
      <c r="F112" s="20" t="s">
        <v>23</v>
      </c>
    </row>
    <row r="113" spans="1:6" ht="16.5" thickBot="1" x14ac:dyDescent="0.3">
      <c r="A113" s="21" t="s">
        <v>84</v>
      </c>
      <c r="B113" s="21" t="s">
        <v>25</v>
      </c>
      <c r="C113" s="21" t="s">
        <v>26</v>
      </c>
      <c r="D113" s="21" t="s">
        <v>27</v>
      </c>
      <c r="E113" s="21" t="s">
        <v>28</v>
      </c>
      <c r="F113" s="21" t="s">
        <v>17</v>
      </c>
    </row>
    <row r="114" spans="1:6" ht="16.5" thickBot="1" x14ac:dyDescent="0.3">
      <c r="A114" s="47" t="s">
        <v>29</v>
      </c>
      <c r="B114" s="22" t="s">
        <v>30</v>
      </c>
      <c r="C114" s="23">
        <v>45066</v>
      </c>
      <c r="D114" s="47" t="s">
        <v>31</v>
      </c>
      <c r="E114" s="24" t="s">
        <v>32</v>
      </c>
      <c r="F114" s="25"/>
    </row>
    <row r="115" spans="1:6" ht="16.5" thickBot="1" x14ac:dyDescent="0.3">
      <c r="A115" s="48"/>
      <c r="B115" s="22" t="s">
        <v>33</v>
      </c>
      <c r="C115" s="27">
        <f>IF(C114="","",IF(AND(MONTH(C114)&gt;=1,MONTH(C114)&lt;=3),1,IF(AND(MONTH(C114)&gt;=4,MONTH(C114)&lt;=6),2,IF(AND(MONTH(C114)&gt;=7,MONTH(C114)&lt;=9),3,4))))</f>
        <v>2</v>
      </c>
      <c r="D115" s="48"/>
      <c r="E115" s="24" t="s">
        <v>34</v>
      </c>
      <c r="F115" s="25"/>
    </row>
    <row r="116" spans="1:6" ht="16.5" thickBot="1" x14ac:dyDescent="0.3">
      <c r="A116" s="48"/>
      <c r="B116" s="22" t="s">
        <v>35</v>
      </c>
      <c r="C116" s="23">
        <v>45067</v>
      </c>
      <c r="D116" s="48"/>
      <c r="E116" s="24" t="s">
        <v>36</v>
      </c>
      <c r="F116" s="25"/>
    </row>
    <row r="117" spans="1:6" ht="16.5" thickBot="1" x14ac:dyDescent="0.3">
      <c r="A117" s="48"/>
      <c r="B117" s="22" t="s">
        <v>33</v>
      </c>
      <c r="C117" s="27">
        <f>IF(C116="","",IF(AND(MONTH(C116)&gt;=1,MONTH(C116)&lt;=3),1,IF(AND(MONTH(C116)&gt;=4,MONTH(C116)&lt;=6),2,IF(AND(MONTH(C116)&gt;=7,MONTH(C116)&lt;=9),3,4))))</f>
        <v>2</v>
      </c>
      <c r="D117" s="48"/>
      <c r="E117" s="24" t="s">
        <v>37</v>
      </c>
      <c r="F117" s="25"/>
    </row>
    <row r="118" spans="1:6" ht="16.5" thickBot="1" x14ac:dyDescent="0.3">
      <c r="A118" s="19"/>
      <c r="B118" s="19"/>
      <c r="C118" s="19"/>
      <c r="D118" s="19"/>
      <c r="E118" s="19"/>
      <c r="F118" s="19"/>
    </row>
    <row r="119" spans="1:6" ht="16.5" thickBot="1" x14ac:dyDescent="0.3">
      <c r="A119" s="28" t="s">
        <v>38</v>
      </c>
      <c r="B119" s="28" t="s">
        <v>39</v>
      </c>
      <c r="C119" s="28" t="s">
        <v>40</v>
      </c>
      <c r="D119" s="28" t="s">
        <v>41</v>
      </c>
      <c r="E119" s="28" t="s">
        <v>42</v>
      </c>
      <c r="F119" s="28" t="s">
        <v>43</v>
      </c>
    </row>
    <row r="120" spans="1:6" ht="15.75" x14ac:dyDescent="0.25">
      <c r="A120" s="29" t="s">
        <v>85</v>
      </c>
      <c r="B120" s="30" t="str">
        <f ca="1">IFERROR(INDEX(UNSPSCDes,MATCH(INDIRECT(ADDRESS(ROW(),COLUMN()-1,4)),UNSPSCCode,0)),IF(INDIRECT(ADDRESS(ROW(),COLUMN()-1,4))="47131604","Escobas",""))</f>
        <v>Escobas</v>
      </c>
      <c r="C120" s="31" t="str">
        <f>IFERROR(VLOOKUP("UD",'[1]Informacion '!P:Q,2,FALSE),"")</f>
        <v>Unidad</v>
      </c>
      <c r="D120" s="29">
        <v>5</v>
      </c>
      <c r="E120" s="32">
        <v>180</v>
      </c>
      <c r="F120" s="33">
        <f t="shared" ref="F120:F131" ca="1" si="3">INDIRECT(ADDRESS(ROW(),COLUMN()-2,4))*INDIRECT(ADDRESS(ROW(),COLUMN()-1,4))</f>
        <v>900</v>
      </c>
    </row>
    <row r="121" spans="1:6" ht="15.75" x14ac:dyDescent="0.25">
      <c r="A121" s="29" t="s">
        <v>86</v>
      </c>
      <c r="B121" s="30" t="str">
        <f ca="1">IFERROR(INDEX(UNSPSCDes,MATCH(INDIRECT(ADDRESS(ROW(),COLUMN()-1,4)),UNSPSCCode,0)),IF(INDIRECT(ADDRESS(ROW(),COLUMN()-1,4))="47131803","Desinfectantes para uso doméstico",""))</f>
        <v>Desinfectantes para uso doméstico</v>
      </c>
      <c r="C121" s="31" t="s">
        <v>87</v>
      </c>
      <c r="D121" s="29">
        <v>10</v>
      </c>
      <c r="E121" s="32">
        <v>200</v>
      </c>
      <c r="F121" s="33">
        <f t="shared" ca="1" si="3"/>
        <v>2000</v>
      </c>
    </row>
    <row r="122" spans="1:6" ht="15.75" x14ac:dyDescent="0.25">
      <c r="A122" s="29" t="s">
        <v>88</v>
      </c>
      <c r="B122" s="30" t="str">
        <f ca="1">IFERROR(INDEX(UNSPSCDes,MATCH(INDIRECT(ADDRESS(ROW(),COLUMN()-1,4)),UNSPSCCode,0)),IF(INDIRECT(ADDRESS(ROW(),COLUMN()-1,4))="41121813","Cubetas",""))</f>
        <v>Cubetas</v>
      </c>
      <c r="C122" s="31" t="str">
        <f>IFERROR(VLOOKUP("UD",'[1]Informacion '!P:Q,2,FALSE),"")</f>
        <v>Unidad</v>
      </c>
      <c r="D122" s="29">
        <v>2</v>
      </c>
      <c r="E122" s="32">
        <v>600</v>
      </c>
      <c r="F122" s="33">
        <f t="shared" ca="1" si="3"/>
        <v>1200</v>
      </c>
    </row>
    <row r="123" spans="1:6" ht="15.75" x14ac:dyDescent="0.25">
      <c r="A123" s="29" t="s">
        <v>89</v>
      </c>
      <c r="B123" s="30" t="str">
        <f ca="1">IFERROR(INDEX(UNSPSCDes,MATCH(INDIRECT(ADDRESS(ROW(),COLUMN()-1,4)),UNSPSCCode,0)),IF(INDIRECT(ADDRESS(ROW(),COLUMN()-1,4))="12141901","Cloro cl",""))</f>
        <v>Cloro cl</v>
      </c>
      <c r="C123" s="31" t="str">
        <f>IFERROR(VLOOKUP("GAL",'[1]Informacion '!P:Q,2,FALSE),"")</f>
        <v>Galón</v>
      </c>
      <c r="D123" s="29">
        <v>5</v>
      </c>
      <c r="E123" s="32">
        <v>180</v>
      </c>
      <c r="F123" s="33">
        <f t="shared" ca="1" si="3"/>
        <v>900</v>
      </c>
    </row>
    <row r="124" spans="1:6" ht="15.75" x14ac:dyDescent="0.25">
      <c r="A124" s="29" t="s">
        <v>90</v>
      </c>
      <c r="B124" s="30" t="str">
        <f ca="1">IFERROR(INDEX(UNSPSCDes,MATCH(INDIRECT(ADDRESS(ROW(),COLUMN()-1,4)),UNSPSCCode,0)),IF(INDIRECT(ADDRESS(ROW(),COLUMN()-1,4))="53131608","Jabones",""))</f>
        <v>Jabones</v>
      </c>
      <c r="C124" s="31" t="str">
        <f>IFERROR(VLOOKUP("GAL",'[1]Informacion '!P:Q,2,FALSE),"")</f>
        <v>Galón</v>
      </c>
      <c r="D124" s="29">
        <v>20</v>
      </c>
      <c r="E124" s="32">
        <v>200</v>
      </c>
      <c r="F124" s="33">
        <f t="shared" ca="1" si="3"/>
        <v>4000</v>
      </c>
    </row>
    <row r="125" spans="1:6" ht="15.75" x14ac:dyDescent="0.25">
      <c r="A125" s="29" t="s">
        <v>86</v>
      </c>
      <c r="B125" s="30" t="str">
        <f ca="1">IFERROR(INDEX(UNSPSCDes,MATCH(INDIRECT(ADDRESS(ROW(),COLUMN()-1,4)),UNSPSCCode,0)),IF(INDIRECT(ADDRESS(ROW(),COLUMN()-1,4))="47131803","Desinfectantes para uso doméstico",""))</f>
        <v>Desinfectantes para uso doméstico</v>
      </c>
      <c r="C125" s="31" t="str">
        <f>IFERROR(VLOOKUP("GAL",'[1]Informacion '!P:Q,2,FALSE),"")</f>
        <v>Galón</v>
      </c>
      <c r="D125" s="29">
        <v>20</v>
      </c>
      <c r="E125" s="32">
        <v>320</v>
      </c>
      <c r="F125" s="33">
        <f t="shared" ca="1" si="3"/>
        <v>6400</v>
      </c>
    </row>
    <row r="126" spans="1:6" ht="15.75" x14ac:dyDescent="0.25">
      <c r="A126" s="29" t="s">
        <v>91</v>
      </c>
      <c r="B126" s="30" t="str">
        <f ca="1">IFERROR(INDEX(UNSPSCDes,MATCH(INDIRECT(ADDRESS(ROW(),COLUMN()-1,4)),UNSPSCCode,0)),IF(INDIRECT(ADDRESS(ROW(),COLUMN()-1,4))="47121701","Bolsas de basura",""))</f>
        <v>Bolsas de basura</v>
      </c>
      <c r="C126" s="31" t="str">
        <f>IFERROR(VLOOKUP("PAQ",'[1]Informacion '!P:Q,2,FALSE),"")</f>
        <v>Paquete</v>
      </c>
      <c r="D126" s="29">
        <v>30</v>
      </c>
      <c r="E126" s="32">
        <v>120</v>
      </c>
      <c r="F126" s="33">
        <f t="shared" ca="1" si="3"/>
        <v>3600</v>
      </c>
    </row>
    <row r="127" spans="1:6" ht="15.75" x14ac:dyDescent="0.25">
      <c r="A127" s="29" t="s">
        <v>91</v>
      </c>
      <c r="B127" s="30" t="str">
        <f ca="1">IFERROR(INDEX(UNSPSCDes,MATCH(INDIRECT(ADDRESS(ROW(),COLUMN()-1,4)),UNSPSCCode,0)),IF(INDIRECT(ADDRESS(ROW(),COLUMN()-1,4))="47121701","Bolsas de basura",""))</f>
        <v>Bolsas de basura</v>
      </c>
      <c r="C127" s="31" t="str">
        <f>IFERROR(VLOOKUP("PAQ",'[1]Informacion '!P:Q,2,FALSE),"")</f>
        <v>Paquete</v>
      </c>
      <c r="D127" s="29">
        <v>50</v>
      </c>
      <c r="E127" s="32">
        <v>120</v>
      </c>
      <c r="F127" s="33">
        <f t="shared" ca="1" si="3"/>
        <v>6000</v>
      </c>
    </row>
    <row r="128" spans="1:6" ht="15.75" x14ac:dyDescent="0.25">
      <c r="A128" s="29" t="s">
        <v>92</v>
      </c>
      <c r="B128" s="30" t="str">
        <f ca="1">IFERROR(INDEX(UNSPSCDes,MATCH(INDIRECT(ADDRESS(ROW(),COLUMN()-1,4)),UNSPSCCode,0)),IF(INDIRECT(ADDRESS(ROW(),COLUMN()-1,4))="47131801","Limpiadores de pisos",""))</f>
        <v>Limpiadores de pisos</v>
      </c>
      <c r="C128" s="31" t="s">
        <v>87</v>
      </c>
      <c r="D128" s="29">
        <v>8</v>
      </c>
      <c r="E128" s="32">
        <v>180</v>
      </c>
      <c r="F128" s="33">
        <f t="shared" ca="1" si="3"/>
        <v>1440</v>
      </c>
    </row>
    <row r="129" spans="1:6" ht="15.75" x14ac:dyDescent="0.25">
      <c r="A129" s="29" t="s">
        <v>93</v>
      </c>
      <c r="B129" s="30" t="str">
        <f ca="1">IFERROR(INDEX(UNSPSCDes,MATCH(INDIRECT(ADDRESS(ROW(),COLUMN()-1,4)),UNSPSCCode,0)),IF(INDIRECT(ADDRESS(ROW(),COLUMN()-1,4))="46181504","Guantes de protección",""))</f>
        <v>Guantes de protección</v>
      </c>
      <c r="C129" s="31" t="str">
        <f>IFERROR(VLOOKUP("UD",'[1]Informacion '!P:Q,2,FALSE),"")</f>
        <v>Unidad</v>
      </c>
      <c r="D129" s="29">
        <v>6</v>
      </c>
      <c r="E129" s="32">
        <v>116</v>
      </c>
      <c r="F129" s="33">
        <f t="shared" ca="1" si="3"/>
        <v>696</v>
      </c>
    </row>
    <row r="130" spans="1:6" ht="15.75" x14ac:dyDescent="0.25">
      <c r="A130" s="29" t="s">
        <v>94</v>
      </c>
      <c r="B130" s="30" t="str">
        <f ca="1">IFERROR(INDEX(UNSPSCDes,MATCH(INDIRECT(ADDRESS(ROW(),COLUMN()-1,4)),UNSPSCCode,0)),IF(INDIRECT(ADDRESS(ROW(),COLUMN()-1,4))="47131808","Germicida seco",""))</f>
        <v>Germicida seco</v>
      </c>
      <c r="C130" s="31" t="str">
        <f>IFERROR(VLOOKUP("UD",'[1]Informacion '!P:Q,2,FALSE),"")</f>
        <v>Unidad</v>
      </c>
      <c r="D130" s="29">
        <v>10</v>
      </c>
      <c r="E130" s="32">
        <v>255</v>
      </c>
      <c r="F130" s="33">
        <f t="shared" ca="1" si="3"/>
        <v>2550</v>
      </c>
    </row>
    <row r="131" spans="1:6" ht="15.75" x14ac:dyDescent="0.25">
      <c r="A131" s="29" t="s">
        <v>95</v>
      </c>
      <c r="B131" s="30" t="str">
        <f ca="1">IFERROR(INDEX(UNSPSCDes,MATCH(INDIRECT(ADDRESS(ROW(),COLUMN()-1,4)),UNSPSCCode,0)),IF(INDIRECT(ADDRESS(ROW(),COLUMN()-1,4))="60121134","Papel metálico",""))</f>
        <v>Papel metálico</v>
      </c>
      <c r="C131" s="31" t="str">
        <f>IFERROR(VLOOKUP("UD",'[1]Informacion '!P:Q,2,FALSE),"")</f>
        <v>Unidad</v>
      </c>
      <c r="D131" s="29">
        <v>5</v>
      </c>
      <c r="E131" s="32">
        <v>325</v>
      </c>
      <c r="F131" s="33">
        <f t="shared" ca="1" si="3"/>
        <v>1625</v>
      </c>
    </row>
    <row r="132" spans="1:6" ht="15.75" x14ac:dyDescent="0.25">
      <c r="A132" s="19"/>
      <c r="B132" s="19"/>
      <c r="C132" s="19"/>
      <c r="D132" s="19"/>
      <c r="E132" s="34" t="s">
        <v>46</v>
      </c>
      <c r="F132" s="35">
        <f ca="1">SUM(Table8[MONTO TOTAL ESTIMADO])</f>
        <v>31311</v>
      </c>
    </row>
    <row r="133" spans="1:6" ht="16.5" thickBot="1" x14ac:dyDescent="0.3">
      <c r="A133" s="19"/>
      <c r="B133" s="19"/>
      <c r="C133" s="19"/>
      <c r="D133" s="19"/>
      <c r="E133" s="19"/>
      <c r="F133" s="19"/>
    </row>
    <row r="134" spans="1:6" ht="32.25" thickBot="1" x14ac:dyDescent="0.3">
      <c r="A134" s="20" t="s">
        <v>18</v>
      </c>
      <c r="B134" s="20" t="s">
        <v>19</v>
      </c>
      <c r="C134" s="20" t="s">
        <v>20</v>
      </c>
      <c r="D134" s="20" t="s">
        <v>21</v>
      </c>
      <c r="E134" s="20" t="s">
        <v>22</v>
      </c>
      <c r="F134" s="20" t="s">
        <v>23</v>
      </c>
    </row>
    <row r="135" spans="1:6" ht="16.5" thickBot="1" x14ac:dyDescent="0.3">
      <c r="A135" s="21" t="s">
        <v>96</v>
      </c>
      <c r="B135" s="21" t="s">
        <v>25</v>
      </c>
      <c r="C135" s="21" t="s">
        <v>26</v>
      </c>
      <c r="D135" s="21" t="s">
        <v>27</v>
      </c>
      <c r="E135" s="21" t="s">
        <v>28</v>
      </c>
      <c r="F135" s="21" t="s">
        <v>17</v>
      </c>
    </row>
    <row r="136" spans="1:6" ht="16.5" thickBot="1" x14ac:dyDescent="0.3">
      <c r="A136" s="47" t="s">
        <v>29</v>
      </c>
      <c r="B136" s="22" t="s">
        <v>30</v>
      </c>
      <c r="C136" s="23">
        <v>45066</v>
      </c>
      <c r="D136" s="47" t="s">
        <v>31</v>
      </c>
      <c r="E136" s="24" t="s">
        <v>32</v>
      </c>
      <c r="F136" s="25"/>
    </row>
    <row r="137" spans="1:6" ht="16.5" thickBot="1" x14ac:dyDescent="0.3">
      <c r="A137" s="48"/>
      <c r="B137" s="22" t="s">
        <v>33</v>
      </c>
      <c r="C137" s="27">
        <f>IF(C136="","",IF(AND(MONTH(C136)&gt;=1,MONTH(C136)&lt;=3),1,IF(AND(MONTH(C136)&gt;=4,MONTH(C136)&lt;=6),2,IF(AND(MONTH(C136)&gt;=7,MONTH(C136)&lt;=9),3,4))))</f>
        <v>2</v>
      </c>
      <c r="D137" s="48"/>
      <c r="E137" s="24" t="s">
        <v>34</v>
      </c>
      <c r="F137" s="25"/>
    </row>
    <row r="138" spans="1:6" ht="16.5" thickBot="1" x14ac:dyDescent="0.3">
      <c r="A138" s="48"/>
      <c r="B138" s="22" t="s">
        <v>35</v>
      </c>
      <c r="C138" s="23">
        <v>45067</v>
      </c>
      <c r="D138" s="48"/>
      <c r="E138" s="24" t="s">
        <v>36</v>
      </c>
      <c r="F138" s="25"/>
    </row>
    <row r="139" spans="1:6" ht="16.5" thickBot="1" x14ac:dyDescent="0.3">
      <c r="A139" s="48"/>
      <c r="B139" s="22" t="s">
        <v>33</v>
      </c>
      <c r="C139" s="27">
        <f>IF(C138="","",IF(AND(MONTH(C138)&gt;=1,MONTH(C138)&lt;=3),1,IF(AND(MONTH(C138)&gt;=4,MONTH(C138)&lt;=6),2,IF(AND(MONTH(C138)&gt;=7,MONTH(C138)&lt;=9),3,4))))</f>
        <v>2</v>
      </c>
      <c r="D139" s="48"/>
      <c r="E139" s="24" t="s">
        <v>37</v>
      </c>
      <c r="F139" s="25"/>
    </row>
    <row r="140" spans="1:6" ht="16.5" thickBot="1" x14ac:dyDescent="0.3">
      <c r="A140" s="19"/>
      <c r="B140" s="19"/>
      <c r="C140" s="19"/>
      <c r="D140" s="19"/>
      <c r="E140" s="19"/>
      <c r="F140" s="19"/>
    </row>
    <row r="141" spans="1:6" ht="16.5" thickBot="1" x14ac:dyDescent="0.3">
      <c r="A141" s="28" t="s">
        <v>38</v>
      </c>
      <c r="B141" s="28" t="s">
        <v>39</v>
      </c>
      <c r="C141" s="28" t="s">
        <v>40</v>
      </c>
      <c r="D141" s="28" t="s">
        <v>41</v>
      </c>
      <c r="E141" s="28" t="s">
        <v>42</v>
      </c>
      <c r="F141" s="28" t="s">
        <v>43</v>
      </c>
    </row>
    <row r="142" spans="1:6" ht="31.5" x14ac:dyDescent="0.25">
      <c r="A142" s="29" t="s">
        <v>97</v>
      </c>
      <c r="B142" s="30" t="str">
        <f ca="1">IFERROR(INDEX(UNSPSCDes,MATCH(INDIRECT(ADDRESS(ROW(),COLUMN()-1,4)),UNSPSCCode,0)),IF(INDIRECT(ADDRESS(ROW(),COLUMN()-1,4))="50161509","Azucares naturales o productos endulzantes",""))</f>
        <v>Azucares naturales o productos endulzantes</v>
      </c>
      <c r="C142" s="31" t="str">
        <f>IFERROR(VLOOKUP("UD",'[1]Informacion '!P:Q,2,FALSE),"")</f>
        <v>Unidad</v>
      </c>
      <c r="D142" s="29">
        <v>41</v>
      </c>
      <c r="E142" s="32">
        <v>210</v>
      </c>
      <c r="F142" s="33">
        <f t="shared" ref="F142:F150" ca="1" si="4">INDIRECT(ADDRESS(ROW(),COLUMN()-2,4))*INDIRECT(ADDRESS(ROW(),COLUMN()-1,4))</f>
        <v>8610</v>
      </c>
    </row>
    <row r="143" spans="1:6" ht="15.75" x14ac:dyDescent="0.25">
      <c r="A143" s="29" t="s">
        <v>98</v>
      </c>
      <c r="B143" s="30" t="str">
        <f ca="1">IFERROR(INDEX(UNSPSCDes,MATCH(INDIRECT(ADDRESS(ROW(),COLUMN()-1,4)),UNSPSCCode,0)),IF(INDIRECT(ADDRESS(ROW(),COLUMN()-1,4))="50201706","Café",""))</f>
        <v>Café</v>
      </c>
      <c r="C143" s="31" t="str">
        <f>IFERROR(VLOOKUP("UD",'[1]Informacion '!P:Q,2,FALSE),"")</f>
        <v>Unidad</v>
      </c>
      <c r="D143" s="29">
        <v>100</v>
      </c>
      <c r="E143" s="32">
        <v>350</v>
      </c>
      <c r="F143" s="33">
        <f t="shared" ca="1" si="4"/>
        <v>35000</v>
      </c>
    </row>
    <row r="144" spans="1:6" ht="15.75" x14ac:dyDescent="0.25">
      <c r="A144" s="29" t="s">
        <v>99</v>
      </c>
      <c r="B144" s="30" t="str">
        <f ca="1">IFERROR(INDEX(UNSPSCDes,MATCH(INDIRECT(ADDRESS(ROW(),COLUMN()-1,4)),UNSPSCCode,0)),IF(INDIRECT(ADDRESS(ROW(),COLUMN()-1,4))="50201714","Cremas no lácteas",""))</f>
        <v>Cremas no lácteas</v>
      </c>
      <c r="C144" s="31" t="str">
        <f>IFERROR(VLOOKUP("UD",'[1]Informacion '!P:Q,2,FALSE),"")</f>
        <v>Unidad</v>
      </c>
      <c r="D144" s="29">
        <v>10</v>
      </c>
      <c r="E144" s="32">
        <v>500</v>
      </c>
      <c r="F144" s="33">
        <f t="shared" ca="1" si="4"/>
        <v>5000</v>
      </c>
    </row>
    <row r="145" spans="1:6" ht="31.5" x14ac:dyDescent="0.25">
      <c r="A145" s="29" t="s">
        <v>100</v>
      </c>
      <c r="B145" s="30" t="str">
        <f ca="1">IFERROR(INDEX(UNSPSCDes,MATCH(INDIRECT(ADDRESS(ROW(),COLUMN()-1,4)),UNSPSCCode,0)),IF(INDIRECT(ADDRESS(ROW(),COLUMN()-1,4))="50131701","Productos de leche o mantequilla frescos",""))</f>
        <v>Productos de leche o mantequilla frescos</v>
      </c>
      <c r="C145" s="31" t="str">
        <f>IFERROR(VLOOKUP("UD",'[1]Informacion '!P:Q,2,FALSE),"")</f>
        <v>Unidad</v>
      </c>
      <c r="D145" s="29">
        <v>3</v>
      </c>
      <c r="E145" s="32">
        <v>1800</v>
      </c>
      <c r="F145" s="33">
        <f t="shared" ca="1" si="4"/>
        <v>5400</v>
      </c>
    </row>
    <row r="146" spans="1:6" ht="15.75" x14ac:dyDescent="0.25">
      <c r="A146" s="29" t="s">
        <v>101</v>
      </c>
      <c r="B146" s="30" t="str">
        <f ca="1">IFERROR(INDEX(UNSPSCDes,MATCH(INDIRECT(ADDRESS(ROW(),COLUMN()-1,4)),UNSPSCCode,0)),IF(INDIRECT(ADDRESS(ROW(),COLUMN()-1,4))="50201711","Té instantáneo",""))</f>
        <v>Té instantáneo</v>
      </c>
      <c r="C146" s="31" t="str">
        <f>IFERROR(VLOOKUP("CAJ",'[1]Informacion '!P:Q,2,FALSE),"")</f>
        <v>Caja</v>
      </c>
      <c r="D146" s="29">
        <v>10</v>
      </c>
      <c r="E146" s="32">
        <v>82.5</v>
      </c>
      <c r="F146" s="33">
        <f t="shared" ca="1" si="4"/>
        <v>825</v>
      </c>
    </row>
    <row r="147" spans="1:6" ht="15.75" x14ac:dyDescent="0.25">
      <c r="A147" s="29" t="s">
        <v>102</v>
      </c>
      <c r="B147" s="30" t="str">
        <f ca="1">IFERROR(INDEX(UNSPSCDes,MATCH(INDIRECT(ADDRESS(ROW(),COLUMN()-1,4)),UNSPSCCode,0)),IF(INDIRECT(ADDRESS(ROW(),COLUMN()-1,4))="50202301","Agua",""))</f>
        <v>Agua</v>
      </c>
      <c r="C147" s="31" t="str">
        <f>IFERROR(VLOOKUP("PAQ",'[1]Informacion '!P:Q,2,FALSE),"")</f>
        <v>Paquete</v>
      </c>
      <c r="D147" s="29">
        <v>25</v>
      </c>
      <c r="E147" s="32">
        <v>210</v>
      </c>
      <c r="F147" s="33">
        <f t="shared" ca="1" si="4"/>
        <v>5250</v>
      </c>
    </row>
    <row r="148" spans="1:6" ht="31.5" x14ac:dyDescent="0.25">
      <c r="A148" s="29" t="s">
        <v>97</v>
      </c>
      <c r="B148" s="30" t="str">
        <f ca="1">IFERROR(INDEX(UNSPSCDes,MATCH(INDIRECT(ADDRESS(ROW(),COLUMN()-1,4)),UNSPSCCode,0)),IF(INDIRECT(ADDRESS(ROW(),COLUMN()-1,4))="50161509","Azucares naturales o productos endulzantes",""))</f>
        <v>Azucares naturales o productos endulzantes</v>
      </c>
      <c r="C148" s="31" t="str">
        <f>IFERROR(VLOOKUP("CAJ",'[1]Informacion '!P:Q,2,FALSE),"")</f>
        <v>Caja</v>
      </c>
      <c r="D148" s="29">
        <v>5</v>
      </c>
      <c r="E148" s="32">
        <v>585</v>
      </c>
      <c r="F148" s="33">
        <f t="shared" ca="1" si="4"/>
        <v>2925</v>
      </c>
    </row>
    <row r="149" spans="1:6" ht="15.75" x14ac:dyDescent="0.25">
      <c r="A149" s="29" t="s">
        <v>103</v>
      </c>
      <c r="B149" s="30" t="str">
        <f ca="1">IFERROR(INDEX(UNSPSCDes,MATCH(INDIRECT(ADDRESS(ROW(),COLUMN()-1,4)),UNSPSCCode,0)),IF(INDIRECT(ADDRESS(ROW(),COLUMN()-1,4))="50161511","Chocolate o sustituto de chocolate",""))</f>
        <v>Chocolate o sustituto de chocolate</v>
      </c>
      <c r="C149" s="31" t="str">
        <f>IFERROR(VLOOKUP("UD",'[1]Informacion '!P:Q,2,FALSE),"")</f>
        <v>Unidad</v>
      </c>
      <c r="D149" s="29">
        <v>3</v>
      </c>
      <c r="E149" s="32">
        <v>280</v>
      </c>
      <c r="F149" s="33">
        <f t="shared" ca="1" si="4"/>
        <v>840</v>
      </c>
    </row>
    <row r="150" spans="1:6" ht="15.75" x14ac:dyDescent="0.25">
      <c r="A150" s="29">
        <v>50161814</v>
      </c>
      <c r="B150" s="30" t="str">
        <f ca="1">IFERROR(INDEX(UNSPSCDes,MATCH(INDIRECT(ADDRESS(ROW(),COLUMN()-1,4)),UNSPSCCode,0)),IF(INDIRECT(ADDRESS(ROW(),COLUMN()-1,4))="50161511","Chocolate o sustituto de chocolate",""))</f>
        <v>Azúcar o sustituto de azúcar, confite</v>
      </c>
      <c r="C150" s="31" t="s">
        <v>83</v>
      </c>
      <c r="D150" s="29">
        <v>4</v>
      </c>
      <c r="E150" s="32">
        <v>150</v>
      </c>
      <c r="F150" s="33">
        <f t="shared" ca="1" si="4"/>
        <v>600</v>
      </c>
    </row>
    <row r="151" spans="1:6" ht="15.75" x14ac:dyDescent="0.25">
      <c r="A151" s="19"/>
      <c r="B151" s="19"/>
      <c r="C151" s="19"/>
      <c r="D151" s="19"/>
      <c r="E151" s="34" t="s">
        <v>46</v>
      </c>
      <c r="F151" s="35">
        <f ca="1">SUM(Table9[MONTO TOTAL ESTIMADO])</f>
        <v>64450</v>
      </c>
    </row>
    <row r="152" spans="1:6" ht="16.5" thickBot="1" x14ac:dyDescent="0.3">
      <c r="A152" s="19"/>
      <c r="B152" s="19"/>
      <c r="C152" s="19"/>
      <c r="D152" s="19"/>
      <c r="E152" s="19"/>
      <c r="F152" s="19"/>
    </row>
    <row r="153" spans="1:6" ht="32.25" thickBot="1" x14ac:dyDescent="0.3">
      <c r="A153" s="20" t="s">
        <v>18</v>
      </c>
      <c r="B153" s="20" t="s">
        <v>19</v>
      </c>
      <c r="C153" s="20" t="s">
        <v>20</v>
      </c>
      <c r="D153" s="20" t="s">
        <v>21</v>
      </c>
      <c r="E153" s="20" t="s">
        <v>22</v>
      </c>
      <c r="F153" s="20" t="s">
        <v>23</v>
      </c>
    </row>
    <row r="154" spans="1:6" ht="16.5" thickBot="1" x14ac:dyDescent="0.3">
      <c r="A154" s="21" t="s">
        <v>104</v>
      </c>
      <c r="B154" s="21" t="s">
        <v>105</v>
      </c>
      <c r="C154" s="21" t="s">
        <v>106</v>
      </c>
      <c r="D154" s="21" t="s">
        <v>27</v>
      </c>
      <c r="E154" s="21" t="s">
        <v>107</v>
      </c>
      <c r="F154" s="21" t="s">
        <v>17</v>
      </c>
    </row>
    <row r="155" spans="1:6" ht="16.5" thickBot="1" x14ac:dyDescent="0.3">
      <c r="A155" s="47" t="s">
        <v>29</v>
      </c>
      <c r="B155" s="22" t="s">
        <v>30</v>
      </c>
      <c r="C155" s="23">
        <v>45078</v>
      </c>
      <c r="D155" s="47" t="s">
        <v>31</v>
      </c>
      <c r="E155" s="24" t="s">
        <v>32</v>
      </c>
      <c r="F155" s="25"/>
    </row>
    <row r="156" spans="1:6" ht="16.5" thickBot="1" x14ac:dyDescent="0.3">
      <c r="A156" s="48"/>
      <c r="B156" s="22" t="s">
        <v>33</v>
      </c>
      <c r="C156" s="27">
        <f>IF(C155="","",IF(AND(MONTH(C155)&gt;=1,MONTH(C155)&lt;=3),1,IF(AND(MONTH(C155)&gt;=4,MONTH(C155)&lt;=6),2,IF(AND(MONTH(C155)&gt;=7,MONTH(C155)&lt;=9),3,4))))</f>
        <v>2</v>
      </c>
      <c r="D156" s="48"/>
      <c r="E156" s="24" t="s">
        <v>34</v>
      </c>
      <c r="F156" s="25"/>
    </row>
    <row r="157" spans="1:6" ht="16.5" thickBot="1" x14ac:dyDescent="0.3">
      <c r="A157" s="48"/>
      <c r="B157" s="22" t="s">
        <v>35</v>
      </c>
      <c r="C157" s="23">
        <v>45083</v>
      </c>
      <c r="D157" s="48"/>
      <c r="E157" s="24" t="s">
        <v>36</v>
      </c>
      <c r="F157" s="25"/>
    </row>
    <row r="158" spans="1:6" ht="16.5" thickBot="1" x14ac:dyDescent="0.3">
      <c r="A158" s="48"/>
      <c r="B158" s="22" t="s">
        <v>33</v>
      </c>
      <c r="C158" s="27">
        <f>IF(C157="","",IF(AND(MONTH(C157)&gt;=1,MONTH(C157)&lt;=3),1,IF(AND(MONTH(C157)&gt;=4,MONTH(C157)&lt;=6),2,IF(AND(MONTH(C157)&gt;=7,MONTH(C157)&lt;=9),3,4))))</f>
        <v>2</v>
      </c>
      <c r="D158" s="48"/>
      <c r="E158" s="24" t="s">
        <v>37</v>
      </c>
      <c r="F158" s="25"/>
    </row>
    <row r="159" spans="1:6" ht="16.5" thickBot="1" x14ac:dyDescent="0.3">
      <c r="A159" s="19"/>
      <c r="B159" s="19"/>
      <c r="C159" s="19"/>
      <c r="D159" s="19"/>
      <c r="E159" s="19"/>
      <c r="F159" s="19"/>
    </row>
    <row r="160" spans="1:6" ht="16.5" thickBot="1" x14ac:dyDescent="0.3">
      <c r="A160" s="28" t="s">
        <v>38</v>
      </c>
      <c r="B160" s="28" t="s">
        <v>39</v>
      </c>
      <c r="C160" s="28" t="s">
        <v>40</v>
      </c>
      <c r="D160" s="28" t="s">
        <v>41</v>
      </c>
      <c r="E160" s="28" t="s">
        <v>42</v>
      </c>
      <c r="F160" s="28" t="s">
        <v>43</v>
      </c>
    </row>
    <row r="161" spans="1:6" ht="15.75" x14ac:dyDescent="0.25">
      <c r="A161" s="29" t="s">
        <v>108</v>
      </c>
      <c r="B161" s="30" t="str">
        <f ca="1">IFERROR(INDEX(UNSPSCDes,MATCH(INDIRECT(ADDRESS(ROW(),COLUMN()-1,4)),UNSPSCCode,0)),IF(INDIRECT(ADDRESS(ROW(),COLUMN()-1,4))="78111502","Viajes en aviones comerciales",""))</f>
        <v>Viajes en aviones comerciales</v>
      </c>
      <c r="C161" s="31" t="str">
        <f>IFERROR(VLOOKUP("UD",'[1]Informacion '!P:Q,2,FALSE),"")</f>
        <v>Unidad</v>
      </c>
      <c r="D161" s="29">
        <v>1</v>
      </c>
      <c r="E161" s="32">
        <v>100000</v>
      </c>
      <c r="F161" s="33">
        <f ca="1">INDIRECT(ADDRESS(ROW(),COLUMN()-2,4))*INDIRECT(ADDRESS(ROW(),COLUMN()-1,4))</f>
        <v>100000</v>
      </c>
    </row>
    <row r="162" spans="1:6" ht="15.75" x14ac:dyDescent="0.25">
      <c r="A162" s="19"/>
      <c r="B162" s="19"/>
      <c r="C162" s="19"/>
      <c r="D162" s="19"/>
      <c r="E162" s="34" t="s">
        <v>46</v>
      </c>
      <c r="F162" s="35">
        <f ca="1">SUM(Table10[MONTO TOTAL ESTIMADO])</f>
        <v>100000</v>
      </c>
    </row>
    <row r="163" spans="1:6" ht="16.5" thickBot="1" x14ac:dyDescent="0.3">
      <c r="A163" s="19"/>
      <c r="B163" s="19"/>
      <c r="C163" s="19"/>
      <c r="D163" s="19"/>
      <c r="E163" s="19"/>
      <c r="F163" s="19"/>
    </row>
    <row r="164" spans="1:6" ht="32.25" thickBot="1" x14ac:dyDescent="0.3">
      <c r="A164" s="20" t="s">
        <v>18</v>
      </c>
      <c r="B164" s="20" t="s">
        <v>19</v>
      </c>
      <c r="C164" s="20" t="s">
        <v>20</v>
      </c>
      <c r="D164" s="20" t="s">
        <v>21</v>
      </c>
      <c r="E164" s="20" t="s">
        <v>22</v>
      </c>
      <c r="F164" s="20" t="s">
        <v>23</v>
      </c>
    </row>
    <row r="165" spans="1:6" ht="16.5" thickBot="1" x14ac:dyDescent="0.3">
      <c r="A165" s="21" t="s">
        <v>109</v>
      </c>
      <c r="B165" s="21" t="s">
        <v>110</v>
      </c>
      <c r="C165" s="21" t="s">
        <v>106</v>
      </c>
      <c r="D165" s="21" t="s">
        <v>27</v>
      </c>
      <c r="E165" s="21" t="s">
        <v>107</v>
      </c>
      <c r="F165" s="21" t="s">
        <v>17</v>
      </c>
    </row>
    <row r="166" spans="1:6" ht="16.5" thickBot="1" x14ac:dyDescent="0.3">
      <c r="A166" s="47" t="s">
        <v>29</v>
      </c>
      <c r="B166" s="22" t="s">
        <v>30</v>
      </c>
      <c r="C166" s="23">
        <v>45083</v>
      </c>
      <c r="D166" s="47" t="s">
        <v>31</v>
      </c>
      <c r="E166" s="24" t="s">
        <v>32</v>
      </c>
      <c r="F166" s="25"/>
    </row>
    <row r="167" spans="1:6" ht="16.5" thickBot="1" x14ac:dyDescent="0.3">
      <c r="A167" s="48"/>
      <c r="B167" s="22" t="s">
        <v>33</v>
      </c>
      <c r="C167" s="27">
        <f>IF(C166="","",IF(AND(MONTH(C166)&gt;=1,MONTH(C166)&lt;=3),1,IF(AND(MONTH(C166)&gt;=4,MONTH(C166)&lt;=6),2,IF(AND(MONTH(C166)&gt;=7,MONTH(C166)&lt;=9),3,4))))</f>
        <v>2</v>
      </c>
      <c r="D167" s="48"/>
      <c r="E167" s="24" t="s">
        <v>34</v>
      </c>
      <c r="F167" s="25"/>
    </row>
    <row r="168" spans="1:6" ht="16.5" thickBot="1" x14ac:dyDescent="0.3">
      <c r="A168" s="48"/>
      <c r="B168" s="22" t="s">
        <v>35</v>
      </c>
      <c r="C168" s="23">
        <v>45086</v>
      </c>
      <c r="D168" s="48"/>
      <c r="E168" s="24" t="s">
        <v>36</v>
      </c>
      <c r="F168" s="25"/>
    </row>
    <row r="169" spans="1:6" ht="16.5" thickBot="1" x14ac:dyDescent="0.3">
      <c r="A169" s="48"/>
      <c r="B169" s="22" t="s">
        <v>33</v>
      </c>
      <c r="C169" s="27">
        <f>IF(C168="","",IF(AND(MONTH(C168)&gt;=1,MONTH(C168)&lt;=3),1,IF(AND(MONTH(C168)&gt;=4,MONTH(C168)&lt;=6),2,IF(AND(MONTH(C168)&gt;=7,MONTH(C168)&lt;=9),3,4))))</f>
        <v>2</v>
      </c>
      <c r="D169" s="48"/>
      <c r="E169" s="24" t="s">
        <v>37</v>
      </c>
      <c r="F169" s="25"/>
    </row>
    <row r="170" spans="1:6" ht="16.5" thickBot="1" x14ac:dyDescent="0.3">
      <c r="A170" s="19"/>
      <c r="B170" s="19"/>
      <c r="C170" s="19"/>
      <c r="D170" s="19"/>
      <c r="E170" s="19"/>
      <c r="F170" s="19"/>
    </row>
    <row r="171" spans="1:6" ht="16.5" thickBot="1" x14ac:dyDescent="0.3">
      <c r="A171" s="28" t="s">
        <v>38</v>
      </c>
      <c r="B171" s="28" t="s">
        <v>39</v>
      </c>
      <c r="C171" s="28" t="s">
        <v>40</v>
      </c>
      <c r="D171" s="28" t="s">
        <v>41</v>
      </c>
      <c r="E171" s="28" t="s">
        <v>42</v>
      </c>
      <c r="F171" s="28" t="s">
        <v>43</v>
      </c>
    </row>
    <row r="172" spans="1:6" ht="31.5" x14ac:dyDescent="0.25">
      <c r="A172" s="29" t="s">
        <v>111</v>
      </c>
      <c r="B172" s="30" t="str">
        <f ca="1">IFERROR(INDEX(UNSPSCDes,MATCH(INDIRECT(ADDRESS(ROW(),COLUMN()-1,4)),UNSPSCCode,0)),IF(INDIRECT(ADDRESS(ROW(),COLUMN()-1,4))="78180101","Servicios de reparar o pintar la carrocería de vehículos",""))</f>
        <v>Servicios de reparar o pintar la carrocería de vehículos</v>
      </c>
      <c r="C172" s="31" t="str">
        <f>IFERROR(VLOOKUP("UD",'[1]Informacion '!P:Q,2,FALSE),"")</f>
        <v>Unidad</v>
      </c>
      <c r="D172" s="29">
        <v>1</v>
      </c>
      <c r="E172" s="32">
        <v>180000</v>
      </c>
      <c r="F172" s="33">
        <f ca="1">INDIRECT(ADDRESS(ROW(),COLUMN()-2,4))*INDIRECT(ADDRESS(ROW(),COLUMN()-1,4))</f>
        <v>180000</v>
      </c>
    </row>
    <row r="173" spans="1:6" ht="15.75" x14ac:dyDescent="0.25">
      <c r="A173" s="19"/>
      <c r="B173" s="19"/>
      <c r="C173" s="19"/>
      <c r="D173" s="19"/>
      <c r="E173" s="34" t="s">
        <v>46</v>
      </c>
      <c r="F173" s="35">
        <f ca="1">SUM(Table12[MONTO TOTAL ESTIMADO])</f>
        <v>180000</v>
      </c>
    </row>
    <row r="174" spans="1:6" ht="16.5" thickBot="1" x14ac:dyDescent="0.3">
      <c r="A174" s="19"/>
      <c r="B174" s="19"/>
      <c r="C174" s="19"/>
      <c r="D174" s="19"/>
      <c r="E174" s="19"/>
      <c r="F174" s="19"/>
    </row>
    <row r="175" spans="1:6" ht="32.25" thickBot="1" x14ac:dyDescent="0.3">
      <c r="A175" s="20" t="s">
        <v>18</v>
      </c>
      <c r="B175" s="20" t="s">
        <v>19</v>
      </c>
      <c r="C175" s="20" t="s">
        <v>20</v>
      </c>
      <c r="D175" s="20" t="s">
        <v>21</v>
      </c>
      <c r="E175" s="20" t="s">
        <v>22</v>
      </c>
      <c r="F175" s="20" t="s">
        <v>23</v>
      </c>
    </row>
    <row r="176" spans="1:6" ht="16.5" thickBot="1" x14ac:dyDescent="0.3">
      <c r="A176" s="21" t="s">
        <v>112</v>
      </c>
      <c r="B176" s="21" t="s">
        <v>25</v>
      </c>
      <c r="C176" s="21" t="s">
        <v>26</v>
      </c>
      <c r="D176" s="21" t="s">
        <v>27</v>
      </c>
      <c r="E176" s="21" t="s">
        <v>107</v>
      </c>
      <c r="F176" s="21" t="s">
        <v>17</v>
      </c>
    </row>
    <row r="177" spans="1:6" ht="16.5" thickBot="1" x14ac:dyDescent="0.3">
      <c r="A177" s="47" t="s">
        <v>29</v>
      </c>
      <c r="B177" s="22" t="s">
        <v>30</v>
      </c>
      <c r="C177" s="23">
        <v>45068</v>
      </c>
      <c r="D177" s="47" t="s">
        <v>31</v>
      </c>
      <c r="E177" s="24" t="s">
        <v>32</v>
      </c>
      <c r="F177" s="25"/>
    </row>
    <row r="178" spans="1:6" ht="16.5" thickBot="1" x14ac:dyDescent="0.3">
      <c r="A178" s="48"/>
      <c r="B178" s="22" t="s">
        <v>33</v>
      </c>
      <c r="C178" s="27">
        <f>IF(C177="","",IF(AND(MONTH(C177)&gt;=1,MONTH(C177)&lt;=3),1,IF(AND(MONTH(C177)&gt;=4,MONTH(C177)&lt;=6),2,IF(AND(MONTH(C177)&gt;=7,MONTH(C177)&lt;=9),3,4))))</f>
        <v>2</v>
      </c>
      <c r="D178" s="48"/>
      <c r="E178" s="24" t="s">
        <v>34</v>
      </c>
      <c r="F178" s="25"/>
    </row>
    <row r="179" spans="1:6" ht="16.5" thickBot="1" x14ac:dyDescent="0.3">
      <c r="A179" s="48"/>
      <c r="B179" s="22" t="s">
        <v>35</v>
      </c>
      <c r="C179" s="23">
        <v>45069</v>
      </c>
      <c r="D179" s="48"/>
      <c r="E179" s="24" t="s">
        <v>36</v>
      </c>
      <c r="F179" s="25"/>
    </row>
    <row r="180" spans="1:6" ht="16.5" thickBot="1" x14ac:dyDescent="0.3">
      <c r="A180" s="48"/>
      <c r="B180" s="22" t="s">
        <v>33</v>
      </c>
      <c r="C180" s="27">
        <f>IF(C179="","",IF(AND(MONTH(C179)&gt;=1,MONTH(C179)&lt;=3),1,IF(AND(MONTH(C179)&gt;=4,MONTH(C179)&lt;=6),2,IF(AND(MONTH(C179)&gt;=7,MONTH(C179)&lt;=9),3,4))))</f>
        <v>2</v>
      </c>
      <c r="D180" s="48"/>
      <c r="E180" s="24" t="s">
        <v>37</v>
      </c>
      <c r="F180" s="25"/>
    </row>
    <row r="181" spans="1:6" ht="16.5" thickBot="1" x14ac:dyDescent="0.3">
      <c r="A181" s="19"/>
      <c r="B181" s="19"/>
      <c r="C181" s="19"/>
      <c r="D181" s="19"/>
      <c r="E181" s="19"/>
      <c r="F181" s="19"/>
    </row>
    <row r="182" spans="1:6" ht="16.5" thickBot="1" x14ac:dyDescent="0.3">
      <c r="A182" s="28" t="s">
        <v>38</v>
      </c>
      <c r="B182" s="28" t="s">
        <v>39</v>
      </c>
      <c r="C182" s="28" t="s">
        <v>40</v>
      </c>
      <c r="D182" s="28" t="s">
        <v>41</v>
      </c>
      <c r="E182" s="28" t="s">
        <v>42</v>
      </c>
      <c r="F182" s="28" t="s">
        <v>43</v>
      </c>
    </row>
    <row r="183" spans="1:6" ht="15.75" x14ac:dyDescent="0.25">
      <c r="A183" s="29">
        <v>82121902</v>
      </c>
      <c r="B183" s="30" t="str">
        <f ca="1">IFERROR(INDEX(UNSPSCDes,MATCH(INDIRECT(ADDRESS(ROW(),COLUMN()-1,4)),UNSPSCCode,0)),IF(INDIRECT(ADDRESS(ROW(),COLUMN()-1,4))="44122011","Folders",""))</f>
        <v>Encuadernación espiral</v>
      </c>
      <c r="C183" s="31" t="s">
        <v>72</v>
      </c>
      <c r="D183" s="29">
        <v>2000</v>
      </c>
      <c r="E183" s="32">
        <v>35</v>
      </c>
      <c r="F183" s="33">
        <f t="shared" ref="F183:F185" ca="1" si="5">INDIRECT(ADDRESS(ROW(),COLUMN()-2,4))*INDIRECT(ADDRESS(ROW(),COLUMN()-1,4))</f>
        <v>70000</v>
      </c>
    </row>
    <row r="184" spans="1:6" ht="15.75" x14ac:dyDescent="0.25">
      <c r="A184" s="29">
        <v>55121727</v>
      </c>
      <c r="B184" s="30" t="str">
        <f ca="1">IFERROR(INDEX(UNSPSCDes,MATCH(INDIRECT(ADDRESS(ROW(),COLUMN()-1,4)),UNSPSCCode,0)),IF(INDIRECT(ADDRESS(ROW(),COLUMN()-1,4))="44122011","Folders",""))</f>
        <v>Letreros</v>
      </c>
      <c r="C184" s="31" t="s">
        <v>72</v>
      </c>
      <c r="D184" s="29">
        <v>6</v>
      </c>
      <c r="E184" s="32">
        <v>10000</v>
      </c>
      <c r="F184" s="33">
        <f t="shared" ca="1" si="5"/>
        <v>60000</v>
      </c>
    </row>
    <row r="185" spans="1:6" ht="15.75" x14ac:dyDescent="0.25">
      <c r="A185" s="29" t="s">
        <v>53</v>
      </c>
      <c r="B185" s="30" t="str">
        <f ca="1">IFERROR(INDEX(UNSPSCDes,MATCH(INDIRECT(ADDRESS(ROW(),COLUMN()-1,4)),UNSPSCCode,0)),IF(INDIRECT(ADDRESS(ROW(),COLUMN()-1,4))="44122017","Folders de colgar o accesorios",""))</f>
        <v>Folders de colgar o accesorios</v>
      </c>
      <c r="C185" s="31" t="s">
        <v>72</v>
      </c>
      <c r="D185" s="29">
        <v>50</v>
      </c>
      <c r="E185" s="32">
        <v>1600</v>
      </c>
      <c r="F185" s="33">
        <f t="shared" ca="1" si="5"/>
        <v>80000</v>
      </c>
    </row>
    <row r="186" spans="1:6" ht="15.75" x14ac:dyDescent="0.25">
      <c r="A186" s="19"/>
      <c r="B186" s="19"/>
      <c r="C186" s="19"/>
      <c r="D186" s="19"/>
      <c r="E186" s="34" t="s">
        <v>46</v>
      </c>
      <c r="F186" s="35">
        <f ca="1">SUM(Table16[MONTO TOTAL ESTIMADO])</f>
        <v>210000</v>
      </c>
    </row>
    <row r="187" spans="1:6" ht="16.5" thickBot="1" x14ac:dyDescent="0.3">
      <c r="A187" s="19"/>
      <c r="B187" s="19"/>
      <c r="C187" s="19"/>
      <c r="D187" s="19"/>
      <c r="E187" s="19"/>
      <c r="F187" s="19"/>
    </row>
    <row r="188" spans="1:6" ht="32.25" thickBot="1" x14ac:dyDescent="0.3">
      <c r="A188" s="20" t="s">
        <v>18</v>
      </c>
      <c r="B188" s="20" t="s">
        <v>19</v>
      </c>
      <c r="C188" s="20" t="s">
        <v>20</v>
      </c>
      <c r="D188" s="20" t="s">
        <v>21</v>
      </c>
      <c r="E188" s="20" t="s">
        <v>22</v>
      </c>
      <c r="F188" s="20" t="s">
        <v>23</v>
      </c>
    </row>
    <row r="189" spans="1:6" ht="16.5" thickBot="1" x14ac:dyDescent="0.3">
      <c r="A189" s="21" t="s">
        <v>56</v>
      </c>
      <c r="B189" s="21" t="s">
        <v>25</v>
      </c>
      <c r="C189" s="21" t="s">
        <v>26</v>
      </c>
      <c r="D189" s="21" t="s">
        <v>57</v>
      </c>
      <c r="E189" s="21" t="s">
        <v>28</v>
      </c>
      <c r="F189" s="21" t="s">
        <v>17</v>
      </c>
    </row>
    <row r="190" spans="1:6" ht="16.5" thickBot="1" x14ac:dyDescent="0.3">
      <c r="A190" s="47" t="s">
        <v>29</v>
      </c>
      <c r="B190" s="22" t="s">
        <v>30</v>
      </c>
      <c r="C190" s="23">
        <v>45148</v>
      </c>
      <c r="D190" s="47" t="s">
        <v>31</v>
      </c>
      <c r="E190" s="24" t="s">
        <v>32</v>
      </c>
      <c r="F190" s="25"/>
    </row>
    <row r="191" spans="1:6" ht="16.5" thickBot="1" x14ac:dyDescent="0.3">
      <c r="A191" s="48"/>
      <c r="B191" s="22" t="s">
        <v>33</v>
      </c>
      <c r="C191" s="27">
        <f>IF(C190="","",IF(AND(MONTH(C190)&gt;=1,MONTH(C190)&lt;=3),1,IF(AND(MONTH(C190)&gt;=4,MONTH(C190)&lt;=6),2,IF(AND(MONTH(C190)&gt;=7,MONTH(C190)&lt;=9),3,4))))</f>
        <v>3</v>
      </c>
      <c r="D191" s="48"/>
      <c r="E191" s="24" t="s">
        <v>34</v>
      </c>
      <c r="F191" s="25"/>
    </row>
    <row r="192" spans="1:6" ht="16.5" thickBot="1" x14ac:dyDescent="0.3">
      <c r="A192" s="48"/>
      <c r="B192" s="22" t="s">
        <v>35</v>
      </c>
      <c r="C192" s="23">
        <v>45149</v>
      </c>
      <c r="D192" s="48"/>
      <c r="E192" s="24" t="s">
        <v>36</v>
      </c>
      <c r="F192" s="25"/>
    </row>
    <row r="193" spans="1:6" ht="16.5" thickBot="1" x14ac:dyDescent="0.3">
      <c r="A193" s="48"/>
      <c r="B193" s="22" t="s">
        <v>33</v>
      </c>
      <c r="C193" s="27">
        <f>IF(C192="","",IF(AND(MONTH(C192)&gt;=1,MONTH(C192)&lt;=3),1,IF(AND(MONTH(C192)&gt;=4,MONTH(C192)&lt;=6),2,IF(AND(MONTH(C192)&gt;=7,MONTH(C192)&lt;=9),3,4))))</f>
        <v>3</v>
      </c>
      <c r="D193" s="48"/>
      <c r="E193" s="24" t="s">
        <v>37</v>
      </c>
      <c r="F193" s="25"/>
    </row>
    <row r="194" spans="1:6" ht="16.5" thickBot="1" x14ac:dyDescent="0.3">
      <c r="A194" s="19"/>
      <c r="B194" s="19"/>
      <c r="C194" s="19"/>
      <c r="D194" s="19"/>
      <c r="E194" s="19"/>
      <c r="F194" s="19"/>
    </row>
    <row r="195" spans="1:6" ht="16.5" thickBot="1" x14ac:dyDescent="0.3">
      <c r="A195" s="28" t="s">
        <v>38</v>
      </c>
      <c r="B195" s="28" t="s">
        <v>39</v>
      </c>
      <c r="C195" s="28" t="s">
        <v>40</v>
      </c>
      <c r="D195" s="28" t="s">
        <v>41</v>
      </c>
      <c r="E195" s="28" t="s">
        <v>42</v>
      </c>
      <c r="F195" s="28" t="s">
        <v>43</v>
      </c>
    </row>
    <row r="196" spans="1:6" ht="15.75" x14ac:dyDescent="0.25">
      <c r="A196" s="29" t="s">
        <v>58</v>
      </c>
      <c r="B196" s="30" t="str">
        <f ca="1">IFERROR(INDEX(UNSPSCDes,MATCH(INDIRECT(ADDRESS(ROW(),COLUMN()-1,4)),UNSPSCCode,0)),IF(INDIRECT(ADDRESS(ROW(),COLUMN()-1,4))="44122104","Clips para papel",""))</f>
        <v>Clips para papel</v>
      </c>
      <c r="C196" s="31" t="str">
        <f>IFERROR(VLOOKUP("CAJ",'[1]Informacion '!P:Q,2,FALSE),"")</f>
        <v>Caja</v>
      </c>
      <c r="D196" s="29">
        <v>15</v>
      </c>
      <c r="E196" s="32">
        <v>370</v>
      </c>
      <c r="F196" s="33">
        <f t="shared" ref="F196:F242" ca="1" si="6">INDIRECT(ADDRESS(ROW(),COLUMN()-2,4))*INDIRECT(ADDRESS(ROW(),COLUMN()-1,4))</f>
        <v>5550</v>
      </c>
    </row>
    <row r="197" spans="1:6" ht="31.5" x14ac:dyDescent="0.25">
      <c r="A197" s="29">
        <v>14111526</v>
      </c>
      <c r="B197" s="30" t="str">
        <f ca="1">IFERROR(INDEX(UNSPSCDes,MATCH(INDIRECT(ADDRESS(ROW(),COLUMN()-1,4)),UNSPSCCode,0)),IF(INDIRECT(ADDRESS(ROW(),COLUMN()-1,4))="43202003","Discos versátiles digitales dvd",""))</f>
        <v>Papel libretas o libros de mensajes telefónicos</v>
      </c>
      <c r="C197" s="31" t="s">
        <v>72</v>
      </c>
      <c r="D197" s="29">
        <v>50</v>
      </c>
      <c r="E197" s="32">
        <v>80</v>
      </c>
      <c r="F197" s="33">
        <f t="shared" ca="1" si="6"/>
        <v>4000</v>
      </c>
    </row>
    <row r="198" spans="1:6" ht="15.75" x14ac:dyDescent="0.25">
      <c r="A198" s="29" t="s">
        <v>113</v>
      </c>
      <c r="B198" s="30" t="str">
        <f ca="1">IFERROR(INDEX(UNSPSCDes,MATCH(INDIRECT(ADDRESS(ROW(),COLUMN()-1,4)),UNSPSCCode,0)),IF(INDIRECT(ADDRESS(ROW(),COLUMN()-1,4))="44121506","Sobres estándar",""))</f>
        <v>Sobres estándar</v>
      </c>
      <c r="C198" s="31" t="str">
        <f>IFERROR(VLOOKUP("CAJ",'[1]Informacion '!P:Q,2,FALSE),"")</f>
        <v>Caja</v>
      </c>
      <c r="D198" s="29">
        <v>2</v>
      </c>
      <c r="E198" s="32">
        <v>730</v>
      </c>
      <c r="F198" s="33">
        <f t="shared" ca="1" si="6"/>
        <v>1460</v>
      </c>
    </row>
    <row r="199" spans="1:6" ht="15.75" x14ac:dyDescent="0.25">
      <c r="A199" s="29" t="s">
        <v>59</v>
      </c>
      <c r="B199" s="30" t="str">
        <f ca="1">IFERROR(INDEX(UNSPSCDes,MATCH(INDIRECT(ADDRESS(ROW(),COLUMN()-1,4)),UNSPSCCode,0)),IF(INDIRECT(ADDRESS(ROW(),COLUMN()-1,4))="44121701","Bolígrafos",""))</f>
        <v>Bolígrafos</v>
      </c>
      <c r="C199" s="31" t="str">
        <f>IFERROR(VLOOKUP("UD",'[1]Informacion '!P:Q,2,FALSE),"")</f>
        <v>Unidad</v>
      </c>
      <c r="D199" s="29">
        <v>100</v>
      </c>
      <c r="E199" s="32">
        <v>7</v>
      </c>
      <c r="F199" s="33">
        <f t="shared" ca="1" si="6"/>
        <v>700</v>
      </c>
    </row>
    <row r="200" spans="1:6" ht="15.75" x14ac:dyDescent="0.25">
      <c r="A200" s="29" t="s">
        <v>61</v>
      </c>
      <c r="B200" s="30" t="str">
        <f ca="1">IFERROR(INDEX(UNSPSCDes,MATCH(INDIRECT(ADDRESS(ROW(),COLUMN()-1,4)),UNSPSCCode,0)),IF(INDIRECT(ADDRESS(ROW(),COLUMN()-1,4))="44121706","Lápices de madera",""))</f>
        <v>Lápices de madera</v>
      </c>
      <c r="C200" s="31" t="str">
        <f>IFERROR(VLOOKUP("CAJ",'[1]Informacion '!P:Q,2,FALSE),"")</f>
        <v>Caja</v>
      </c>
      <c r="D200" s="29">
        <v>8</v>
      </c>
      <c r="E200" s="32">
        <v>142</v>
      </c>
      <c r="F200" s="33">
        <f t="shared" ca="1" si="6"/>
        <v>1136</v>
      </c>
    </row>
    <row r="201" spans="1:6" ht="15.75" x14ac:dyDescent="0.25">
      <c r="A201" s="29" t="s">
        <v>62</v>
      </c>
      <c r="B201" s="30" t="str">
        <f ca="1">IFERROR(INDEX(UNSPSCDes,MATCH(INDIRECT(ADDRESS(ROW(),COLUMN()-1,4)),UNSPSCCode,0)),IF(INDIRECT(ADDRESS(ROW(),COLUMN()-1,4))="44122005","Cubiertas para revistas o libros",""))</f>
        <v>Cubiertas para revistas o libros</v>
      </c>
      <c r="C201" s="31" t="str">
        <f>IFERROR(VLOOKUP("PAQ",'[1]Informacion '!P:Q,2,FALSE),"")</f>
        <v>Paquete</v>
      </c>
      <c r="D201" s="29">
        <v>8</v>
      </c>
      <c r="E201" s="32">
        <v>490</v>
      </c>
      <c r="F201" s="33">
        <f t="shared" ca="1" si="6"/>
        <v>3920</v>
      </c>
    </row>
    <row r="202" spans="1:6" ht="15.75" x14ac:dyDescent="0.25">
      <c r="A202" s="29" t="s">
        <v>63</v>
      </c>
      <c r="B202" s="30" t="str">
        <f ca="1">IFERROR(INDEX(UNSPSCDes,MATCH(INDIRECT(ADDRESS(ROW(),COLUMN()-1,4)),UNSPSCCode,0)),IF(INDIRECT(ADDRESS(ROW(),COLUMN()-1,4))="44121716","Resaltadores",""))</f>
        <v>Resaltadores</v>
      </c>
      <c r="C202" s="31" t="str">
        <f>IFERROR(VLOOKUP("CAJ",'[1]Informacion '!P:Q,2,FALSE),"")</f>
        <v>Caja</v>
      </c>
      <c r="D202" s="29">
        <v>3</v>
      </c>
      <c r="E202" s="32">
        <v>380</v>
      </c>
      <c r="F202" s="33">
        <f t="shared" ca="1" si="6"/>
        <v>1140</v>
      </c>
    </row>
    <row r="203" spans="1:6" ht="15.75" x14ac:dyDescent="0.25">
      <c r="A203" s="29" t="s">
        <v>64</v>
      </c>
      <c r="B203" s="30" t="str">
        <f ca="1">IFERROR(INDEX(UNSPSCDes,MATCH(INDIRECT(ADDRESS(ROW(),COLUMN()-1,4)),UNSPSCCode,0)),IF(INDIRECT(ADDRESS(ROW(),COLUMN()-1,4))="44121804","Borradores",""))</f>
        <v>Borradores</v>
      </c>
      <c r="C203" s="31" t="str">
        <f>IFERROR(VLOOKUP("UD",'[1]Informacion '!P:Q,2,FALSE),"")</f>
        <v>Unidad</v>
      </c>
      <c r="D203" s="29">
        <v>10</v>
      </c>
      <c r="E203" s="32">
        <v>17.600000000000001</v>
      </c>
      <c r="F203" s="33">
        <f t="shared" ca="1" si="6"/>
        <v>176</v>
      </c>
    </row>
    <row r="204" spans="1:6" ht="15.75" x14ac:dyDescent="0.25">
      <c r="A204" s="29" t="s">
        <v>114</v>
      </c>
      <c r="B204" s="30" t="str">
        <f ca="1">IFERROR(INDEX(UNSPSCDes,MATCH(INDIRECT(ADDRESS(ROW(),COLUMN()-1,4)),UNSPSCCode,0)),IF(INDIRECT(ADDRESS(ROW(),COLUMN()-1,4))="43202101","Estuches para discos compactos",""))</f>
        <v>Estuches para discos compactos</v>
      </c>
      <c r="C204" s="31" t="str">
        <f>IFERROR(VLOOKUP("PAQ",'[1]Informacion '!P:Q,2,FALSE),"")</f>
        <v>Paquete</v>
      </c>
      <c r="D204" s="29">
        <v>2</v>
      </c>
      <c r="E204" s="32">
        <v>347</v>
      </c>
      <c r="F204" s="33">
        <f t="shared" ca="1" si="6"/>
        <v>694</v>
      </c>
    </row>
    <row r="205" spans="1:6" ht="15.75" x14ac:dyDescent="0.25">
      <c r="A205" s="29" t="s">
        <v>115</v>
      </c>
      <c r="B205" s="30" t="str">
        <f ca="1">IFERROR(INDEX(UNSPSCDes,MATCH(INDIRECT(ADDRESS(ROW(),COLUMN()-1,4)),UNSPSCCode,0)),IF(INDIRECT(ADDRESS(ROW(),COLUMN()-1,4))="43202001","Discos compactos cd",""))</f>
        <v>Discos compactos cd</v>
      </c>
      <c r="C205" s="31" t="str">
        <f>IFERROR(VLOOKUP("PAQ",'[1]Informacion '!P:Q,2,FALSE),"")</f>
        <v>Paquete</v>
      </c>
      <c r="D205" s="29">
        <v>3</v>
      </c>
      <c r="E205" s="32">
        <v>590</v>
      </c>
      <c r="F205" s="33">
        <f t="shared" ca="1" si="6"/>
        <v>1770</v>
      </c>
    </row>
    <row r="206" spans="1:6" ht="15.75" x14ac:dyDescent="0.25">
      <c r="A206" s="29" t="s">
        <v>65</v>
      </c>
      <c r="B206" s="30" t="str">
        <f ca="1">IFERROR(INDEX(UNSPSCDes,MATCH(INDIRECT(ADDRESS(ROW(),COLUMN()-1,4)),UNSPSCCode,0)),IF(INDIRECT(ADDRESS(ROW(),COLUMN()-1,4))="44101801","Calculadoras o accesorios",""))</f>
        <v>Calculadoras o accesorios</v>
      </c>
      <c r="C206" s="31" t="str">
        <f>IFERROR(VLOOKUP("UD",'[1]Informacion '!P:Q,2,FALSE),"")</f>
        <v>Unidad</v>
      </c>
      <c r="D206" s="29">
        <v>1</v>
      </c>
      <c r="E206" s="32">
        <v>6395</v>
      </c>
      <c r="F206" s="33">
        <f t="shared" ca="1" si="6"/>
        <v>6395</v>
      </c>
    </row>
    <row r="207" spans="1:6" ht="15.75" x14ac:dyDescent="0.25">
      <c r="A207" s="29" t="s">
        <v>66</v>
      </c>
      <c r="B207" s="30" t="str">
        <f ca="1">IFERROR(INDEX(UNSPSCDes,MATCH(INDIRECT(ADDRESS(ROW(),COLUMN()-1,4)),UNSPSCCode,0)),IF(INDIRECT(ADDRESS(ROW(),COLUMN()-1,4))="44121615","Grapadoras",""))</f>
        <v>Grapadoras</v>
      </c>
      <c r="C207" s="31" t="str">
        <f>IFERROR(VLOOKUP("UD",'[1]Informacion '!P:Q,2,FALSE),"")</f>
        <v>Unidad</v>
      </c>
      <c r="D207" s="29">
        <v>5</v>
      </c>
      <c r="E207" s="32">
        <v>390</v>
      </c>
      <c r="F207" s="33">
        <f t="shared" ca="1" si="6"/>
        <v>1950</v>
      </c>
    </row>
    <row r="208" spans="1:6" ht="31.5" x14ac:dyDescent="0.25">
      <c r="A208" s="29" t="s">
        <v>67</v>
      </c>
      <c r="B208" s="30" t="str">
        <f ca="1">IFERROR(INDEX(UNSPSCDes,MATCH(INDIRECT(ADDRESS(ROW(),COLUMN()-1,4)),UNSPSCCode,0)),IF(INDIRECT(ADDRESS(ROW(),COLUMN()-1,4))="44111503","Organizadores o bandejas para el escritorio",""))</f>
        <v>Organizadores o bandejas para el escritorio</v>
      </c>
      <c r="C208" s="31" t="str">
        <f>IFERROR(VLOOKUP("UD",'[1]Informacion '!P:Q,2,FALSE),"")</f>
        <v>Unidad</v>
      </c>
      <c r="D208" s="29">
        <v>5</v>
      </c>
      <c r="E208" s="32">
        <v>151</v>
      </c>
      <c r="F208" s="33">
        <f t="shared" ca="1" si="6"/>
        <v>755</v>
      </c>
    </row>
    <row r="209" spans="1:6" ht="15.75" x14ac:dyDescent="0.25">
      <c r="A209" s="29" t="s">
        <v>68</v>
      </c>
      <c r="B209" s="30" t="str">
        <f ca="1">IFERROR(INDEX(UNSPSCDes,MATCH(INDIRECT(ADDRESS(ROW(),COLUMN()-1,4)),UNSPSCCode,0)),IF(INDIRECT(ADDRESS(ROW(),COLUMN()-1,4))="44121618","Tijeras",""))</f>
        <v>Tijeras</v>
      </c>
      <c r="C209" s="31" t="str">
        <f>IFERROR(VLOOKUP("UD",'[1]Informacion '!P:Q,2,FALSE),"")</f>
        <v>Unidad</v>
      </c>
      <c r="D209" s="29">
        <v>10</v>
      </c>
      <c r="E209" s="32">
        <v>35</v>
      </c>
      <c r="F209" s="33">
        <f t="shared" ca="1" si="6"/>
        <v>350</v>
      </c>
    </row>
    <row r="210" spans="1:6" ht="15.75" x14ac:dyDescent="0.25">
      <c r="A210" s="29" t="s">
        <v>69</v>
      </c>
      <c r="B210" s="30" t="str">
        <f ca="1">IFERROR(INDEX(UNSPSCDes,MATCH(INDIRECT(ADDRESS(ROW(),COLUMN()-1,4)),UNSPSCCode,0)),IF(INDIRECT(ADDRESS(ROW(),COLUMN()-1,4))="45101803","Máquinas perforadoras de libros",""))</f>
        <v>Máquinas perforadoras de libros</v>
      </c>
      <c r="C210" s="31" t="str">
        <f>IFERROR(VLOOKUP("UD",'[1]Informacion '!P:Q,2,FALSE),"")</f>
        <v>Unidad</v>
      </c>
      <c r="D210" s="29">
        <v>2</v>
      </c>
      <c r="E210" s="32">
        <v>450</v>
      </c>
      <c r="F210" s="33">
        <f t="shared" ca="1" si="6"/>
        <v>900</v>
      </c>
    </row>
    <row r="211" spans="1:6" ht="15.75" x14ac:dyDescent="0.25">
      <c r="A211" s="29" t="s">
        <v>70</v>
      </c>
      <c r="B211" s="30" t="str">
        <f ca="1">IFERROR(INDEX(UNSPSCDes,MATCH(INDIRECT(ADDRESS(ROW(),COLUMN()-1,4)),UNSPSCCode,0)),IF(INDIRECT(ADDRESS(ROW(),COLUMN()-1,4))="14111802","Recibos o libros de recibos",""))</f>
        <v>Recibos o libros de recibos</v>
      </c>
      <c r="C211" s="31" t="str">
        <f>IFERROR(VLOOKUP("UD",'[1]Informacion '!P:Q,2,FALSE),"")</f>
        <v>Unidad</v>
      </c>
      <c r="D211" s="29">
        <v>3</v>
      </c>
      <c r="E211" s="32">
        <v>950</v>
      </c>
      <c r="F211" s="33">
        <f t="shared" ca="1" si="6"/>
        <v>2850</v>
      </c>
    </row>
    <row r="212" spans="1:6" ht="15.75" x14ac:dyDescent="0.25">
      <c r="A212" s="29" t="s">
        <v>63</v>
      </c>
      <c r="B212" s="30" t="str">
        <f ca="1">IFERROR(INDEX(UNSPSCDes,MATCH(INDIRECT(ADDRESS(ROW(),COLUMN()-1,4)),UNSPSCCode,0)),IF(INDIRECT(ADDRESS(ROW(),COLUMN()-1,4))="44121716","Resaltadores",""))</f>
        <v>Resaltadores</v>
      </c>
      <c r="C212" s="31" t="str">
        <f>IFERROR(VLOOKUP("UD",'[1]Informacion '!P:Q,2,FALSE),"")</f>
        <v>Unidad</v>
      </c>
      <c r="D212" s="29">
        <v>12</v>
      </c>
      <c r="E212" s="32">
        <v>30</v>
      </c>
      <c r="F212" s="33">
        <f t="shared" ca="1" si="6"/>
        <v>360</v>
      </c>
    </row>
    <row r="213" spans="1:6" ht="15.75" x14ac:dyDescent="0.25">
      <c r="A213" s="29" t="s">
        <v>116</v>
      </c>
      <c r="B213" s="30" t="str">
        <f ca="1">IFERROR(INDEX(UNSPSCDes,MATCH(INDIRECT(ADDRESS(ROW(),COLUMN()-1,4)),UNSPSCCode,0)),IF(INDIRECT(ADDRESS(ROW(),COLUMN()-1,4))="44121708","Marcadores",""))</f>
        <v>Marcadores</v>
      </c>
      <c r="C213" s="31" t="str">
        <f>IFERROR(VLOOKUP("UD",'[1]Informacion '!P:Q,2,FALSE),"")</f>
        <v>Unidad</v>
      </c>
      <c r="D213" s="29">
        <v>75</v>
      </c>
      <c r="E213" s="32">
        <v>35</v>
      </c>
      <c r="F213" s="33">
        <f t="shared" ca="1" si="6"/>
        <v>2625</v>
      </c>
    </row>
    <row r="214" spans="1:6" ht="15.75" x14ac:dyDescent="0.25">
      <c r="A214" s="29" t="s">
        <v>117</v>
      </c>
      <c r="B214" s="30" t="str">
        <f ca="1">IFERROR(INDEX(UNSPSCDes,MATCH(INDIRECT(ADDRESS(ROW(),COLUMN()-1,4)),UNSPSCCode,0)),IF(INDIRECT(ADDRESS(ROW(),COLUMN()-1,4))="44102801","Laminadoras",""))</f>
        <v>Laminadoras</v>
      </c>
      <c r="C214" s="31" t="str">
        <f>IFERROR(VLOOKUP("CAJ",'[1]Informacion '!P:Q,2,FALSE),"")</f>
        <v>Caja</v>
      </c>
      <c r="D214" s="29">
        <v>3</v>
      </c>
      <c r="E214" s="32">
        <v>350</v>
      </c>
      <c r="F214" s="33">
        <f t="shared" ca="1" si="6"/>
        <v>1050</v>
      </c>
    </row>
    <row r="215" spans="1:6" ht="15.75" x14ac:dyDescent="0.25">
      <c r="A215" s="29" t="s">
        <v>118</v>
      </c>
      <c r="B215" s="30" t="str">
        <f ca="1">IFERROR(INDEX(UNSPSCDes,MATCH(INDIRECT(ADDRESS(ROW(),COLUMN()-1,4)),UNSPSCCode,0)),IF(INDIRECT(ADDRESS(ROW(),COLUMN()-1,4))="11101502","Lija o esmeril",""))</f>
        <v>Lija o esmeril</v>
      </c>
      <c r="C215" s="31" t="str">
        <f>IFERROR(VLOOKUP("UD",'[1]Informacion '!P:Q,2,FALSE),"")</f>
        <v>Unidad</v>
      </c>
      <c r="D215" s="29">
        <v>2</v>
      </c>
      <c r="E215" s="32">
        <v>22.51</v>
      </c>
      <c r="F215" s="33">
        <f t="shared" ca="1" si="6"/>
        <v>45.02</v>
      </c>
    </row>
    <row r="216" spans="1:6" ht="15.75" x14ac:dyDescent="0.25">
      <c r="A216" s="29" t="s">
        <v>119</v>
      </c>
      <c r="B216" s="30" t="str">
        <f ca="1">IFERROR(INDEX(UNSPSCDes,MATCH(INDIRECT(ADDRESS(ROW(),COLUMN()-1,4)),UNSPSCCode,0)),IF(INDIRECT(ADDRESS(ROW(),COLUMN()-1,4))="41104210","Disolventes",""))</f>
        <v>Disolventes</v>
      </c>
      <c r="C216" s="31" t="str">
        <f>IFERROR(VLOOKUP("UD",'[1]Informacion '!P:Q,2,FALSE),"")</f>
        <v>Unidad</v>
      </c>
      <c r="D216" s="29">
        <v>1</v>
      </c>
      <c r="E216" s="32">
        <v>336.2</v>
      </c>
      <c r="F216" s="33">
        <f t="shared" ca="1" si="6"/>
        <v>336.2</v>
      </c>
    </row>
    <row r="217" spans="1:6" ht="15.75" x14ac:dyDescent="0.25">
      <c r="A217" s="29" t="s">
        <v>120</v>
      </c>
      <c r="B217" s="30" t="str">
        <f ca="1">IFERROR(INDEX(UNSPSCDes,MATCH(INDIRECT(ADDRESS(ROW(),COLUMN()-1,4)),UNSPSCCode,0)),IF(INDIRECT(ADDRESS(ROW(),COLUMN()-1,4))="31211603","Secantes de pintura",""))</f>
        <v>Secantes de pintura</v>
      </c>
      <c r="C217" s="31" t="str">
        <f>IFERROR(VLOOKUP("UD",'[1]Informacion '!P:Q,2,FALSE),"")</f>
        <v>Unidad</v>
      </c>
      <c r="D217" s="29">
        <v>3</v>
      </c>
      <c r="E217" s="32">
        <v>690.67</v>
      </c>
      <c r="F217" s="33">
        <f t="shared" ca="1" si="6"/>
        <v>2072.0099999999998</v>
      </c>
    </row>
    <row r="218" spans="1:6" ht="15.75" x14ac:dyDescent="0.25">
      <c r="A218" s="29" t="s">
        <v>71</v>
      </c>
      <c r="B218" s="30" t="str">
        <f ca="1">IFERROR(INDEX(UNSPSCDes,MATCH(INDIRECT(ADDRESS(ROW(),COLUMN()-1,4)),UNSPSCCode,0)),IF(INDIRECT(ADDRESS(ROW(),COLUMN()-1,4))="86131502","Pintura",""))</f>
        <v>Pintura</v>
      </c>
      <c r="C218" s="31" t="str">
        <f>IFERROR(VLOOKUP("UD",'[1]Informacion '!P:Q,2,FALSE),"")</f>
        <v>Unidad</v>
      </c>
      <c r="D218" s="29">
        <v>3</v>
      </c>
      <c r="E218" s="32">
        <v>224.38</v>
      </c>
      <c r="F218" s="33">
        <f t="shared" ca="1" si="6"/>
        <v>673.14</v>
      </c>
    </row>
    <row r="219" spans="1:6" ht="15.75" x14ac:dyDescent="0.25">
      <c r="A219" s="29" t="s">
        <v>71</v>
      </c>
      <c r="B219" s="30" t="str">
        <f ca="1">IFERROR(INDEX(UNSPSCDes,MATCH(INDIRECT(ADDRESS(ROW(),COLUMN()-1,4)),UNSPSCCode,0)),IF(INDIRECT(ADDRESS(ROW(),COLUMN()-1,4))="86131502","Pintura",""))</f>
        <v>Pintura</v>
      </c>
      <c r="C219" s="31" t="str">
        <f>IFERROR(VLOOKUP("UD",'[1]Informacion '!P:Q,2,FALSE),"")</f>
        <v>Unidad</v>
      </c>
      <c r="D219" s="29">
        <v>3</v>
      </c>
      <c r="E219" s="32">
        <v>212.35</v>
      </c>
      <c r="F219" s="33">
        <f t="shared" ca="1" si="6"/>
        <v>637.04999999999995</v>
      </c>
    </row>
    <row r="220" spans="1:6" ht="15.75" x14ac:dyDescent="0.25">
      <c r="A220" s="29" t="s">
        <v>73</v>
      </c>
      <c r="B220" s="30" t="str">
        <f ca="1">IFERROR(INDEX(UNSPSCDes,MATCH(INDIRECT(ADDRESS(ROW(),COLUMN()-1,4)),UNSPSCCode,0)),IF(INDIRECT(ADDRESS(ROW(),COLUMN()-1,4))="11162116","Tela de fique o estopa",""))</f>
        <v>Tela de fique o estopa</v>
      </c>
      <c r="C220" s="31" t="str">
        <f>IFERROR(VLOOKUP("UD",'[1]Informacion '!P:Q,2,FALSE),"")</f>
        <v>Unidad</v>
      </c>
      <c r="D220" s="29">
        <v>2</v>
      </c>
      <c r="E220" s="32">
        <v>67.790000000000006</v>
      </c>
      <c r="F220" s="33">
        <f t="shared" ca="1" si="6"/>
        <v>135.58000000000001</v>
      </c>
    </row>
    <row r="221" spans="1:6" ht="15.75" x14ac:dyDescent="0.25">
      <c r="A221" s="29" t="s">
        <v>74</v>
      </c>
      <c r="B221" s="30" t="str">
        <f ca="1">IFERROR(INDEX(UNSPSCDes,MATCH(INDIRECT(ADDRESS(ROW(),COLUMN()-1,4)),UNSPSCCode,0)),IF(INDIRECT(ADDRESS(ROW(),COLUMN()-1,4))="43201803","Unidades de disco duro",""))</f>
        <v>Unidades de disco duro</v>
      </c>
      <c r="C221" s="31" t="str">
        <f>IFERROR(VLOOKUP("UD",'[1]Informacion '!P:Q,2,FALSE),"")</f>
        <v>Unidad</v>
      </c>
      <c r="D221" s="29">
        <v>2</v>
      </c>
      <c r="E221" s="32">
        <v>6395</v>
      </c>
      <c r="F221" s="33">
        <f t="shared" ca="1" si="6"/>
        <v>12790</v>
      </c>
    </row>
    <row r="222" spans="1:6" ht="15.75" x14ac:dyDescent="0.25">
      <c r="A222" s="29" t="s">
        <v>75</v>
      </c>
      <c r="B222" s="30" t="str">
        <f ca="1">IFERROR(INDEX(UNSPSCDes,MATCH(INDIRECT(ADDRESS(ROW(),COLUMN()-1,4)),UNSPSCCode,0)),IF(INDIRECT(ADDRESS(ROW(),COLUMN()-1,4))="43212110","Impresoras de múltiples funciones",""))</f>
        <v>Impresoras de múltiples funciones</v>
      </c>
      <c r="C222" s="31" t="str">
        <f>IFERROR(VLOOKUP("UD",'[1]Informacion '!P:Q,2,FALSE),"")</f>
        <v>Unidad</v>
      </c>
      <c r="D222" s="29">
        <v>1</v>
      </c>
      <c r="E222" s="32">
        <v>30650</v>
      </c>
      <c r="F222" s="33">
        <f t="shared" ca="1" si="6"/>
        <v>30650</v>
      </c>
    </row>
    <row r="223" spans="1:6" ht="15.75" x14ac:dyDescent="0.25">
      <c r="A223" s="29" t="s">
        <v>121</v>
      </c>
      <c r="B223" s="30" t="str">
        <f ca="1">IFERROR(INDEX(UNSPSCDes,MATCH(INDIRECT(ADDRESS(ROW(),COLUMN()-1,4)),UNSPSCCode,0)),IF(INDIRECT(ADDRESS(ROW(),COLUMN()-1,4))="32101603","Memoria ram estática (sram)",""))</f>
        <v>Memoria ram estática (sram)</v>
      </c>
      <c r="C223" s="31" t="str">
        <f>IFERROR(VLOOKUP("UD",'[1]Informacion '!P:Q,2,FALSE),"")</f>
        <v>Unidad</v>
      </c>
      <c r="D223" s="29">
        <v>1</v>
      </c>
      <c r="E223" s="32">
        <v>1187.0999999999999</v>
      </c>
      <c r="F223" s="33">
        <f t="shared" ca="1" si="6"/>
        <v>1187.0999999999999</v>
      </c>
    </row>
    <row r="224" spans="1:6" ht="15.75" x14ac:dyDescent="0.25">
      <c r="A224" s="29" t="s">
        <v>122</v>
      </c>
      <c r="B224" s="30" t="str">
        <f ca="1">IFERROR(INDEX(UNSPSCDes,MATCH(INDIRECT(ADDRESS(ROW(),COLUMN()-1,4)),UNSPSCCode,0)),IF(INDIRECT(ADDRESS(ROW(),COLUMN()-1,4))="26111702","Pilas alcalinas",""))</f>
        <v>Pilas alcalinas</v>
      </c>
      <c r="C224" s="31" t="str">
        <f>IFERROR(VLOOKUP("UD",'[1]Informacion '!P:Q,2,FALSE),"")</f>
        <v>Unidad</v>
      </c>
      <c r="D224" s="29">
        <v>3</v>
      </c>
      <c r="E224" s="32">
        <v>1364</v>
      </c>
      <c r="F224" s="33">
        <f t="shared" ca="1" si="6"/>
        <v>4092</v>
      </c>
    </row>
    <row r="225" spans="1:6" ht="15.75" x14ac:dyDescent="0.25">
      <c r="A225" s="29" t="s">
        <v>76</v>
      </c>
      <c r="B225" s="30" t="str">
        <f ca="1">IFERROR(INDEX(UNSPSCDes,MATCH(INDIRECT(ADDRESS(ROW(),COLUMN()-1,4)),UNSPSCCode,0)),IF(INDIRECT(ADDRESS(ROW(),COLUMN()-1,4))="44101805","Cintas para calculadoras",""))</f>
        <v>Cintas para calculadoras</v>
      </c>
      <c r="C225" s="31" t="str">
        <f>IFERROR(VLOOKUP("UD",'[1]Informacion '!P:Q,2,FALSE),"")</f>
        <v>Unidad</v>
      </c>
      <c r="D225" s="29">
        <v>1</v>
      </c>
      <c r="E225" s="32">
        <v>55.82</v>
      </c>
      <c r="F225" s="33">
        <f t="shared" ca="1" si="6"/>
        <v>55.82</v>
      </c>
    </row>
    <row r="226" spans="1:6" ht="15.75" x14ac:dyDescent="0.25">
      <c r="A226" s="29" t="s">
        <v>77</v>
      </c>
      <c r="B226" s="30" t="str">
        <f ca="1">IFERROR(INDEX(UNSPSCDes,MATCH(INDIRECT(ADDRESS(ROW(),COLUMN()-1,4)),UNSPSCCode,0)),IF(INDIRECT(ADDRESS(ROW(),COLUMN()-1,4))="31201610","Pegamentos",""))</f>
        <v>Pegamentos</v>
      </c>
      <c r="C226" s="31" t="str">
        <f>IFERROR(VLOOKUP("UD",'[1]Informacion '!P:Q,2,FALSE),"")</f>
        <v>Unidad</v>
      </c>
      <c r="D226" s="29">
        <v>5</v>
      </c>
      <c r="E226" s="32">
        <v>30</v>
      </c>
      <c r="F226" s="33">
        <f t="shared" ca="1" si="6"/>
        <v>150</v>
      </c>
    </row>
    <row r="227" spans="1:6" ht="15.75" x14ac:dyDescent="0.25">
      <c r="A227" s="29" t="s">
        <v>77</v>
      </c>
      <c r="B227" s="30" t="str">
        <f ca="1">IFERROR(INDEX(UNSPSCDes,MATCH(INDIRECT(ADDRESS(ROW(),COLUMN()-1,4)),UNSPSCCode,0)),IF(INDIRECT(ADDRESS(ROW(),COLUMN()-1,4))="31201610","Pegamentos",""))</f>
        <v>Pegamentos</v>
      </c>
      <c r="C227" s="31" t="str">
        <f>IFERROR(VLOOKUP("UD",'[1]Informacion '!P:Q,2,FALSE),"")</f>
        <v>Unidad</v>
      </c>
      <c r="D227" s="29">
        <v>3</v>
      </c>
      <c r="E227" s="32">
        <v>254</v>
      </c>
      <c r="F227" s="33">
        <f t="shared" ca="1" si="6"/>
        <v>762</v>
      </c>
    </row>
    <row r="228" spans="1:6" ht="15.75" x14ac:dyDescent="0.25">
      <c r="A228" s="29" t="s">
        <v>78</v>
      </c>
      <c r="B228" s="30" t="str">
        <f ca="1">IFERROR(INDEX(UNSPSCDes,MATCH(INDIRECT(ADDRESS(ROW(),COLUMN()-1,4)),UNSPSCCode,0)),IF(INDIRECT(ADDRESS(ROW(),COLUMN()-1,4))="31201505","Cinta doble faz",""))</f>
        <v>Cinta doble faz</v>
      </c>
      <c r="C228" s="31" t="str">
        <f>IFERROR(VLOOKUP("UD",'[1]Informacion '!P:Q,2,FALSE),"")</f>
        <v>Unidad</v>
      </c>
      <c r="D228" s="29">
        <v>1</v>
      </c>
      <c r="E228" s="32">
        <v>2298.02</v>
      </c>
      <c r="F228" s="33">
        <f t="shared" ca="1" si="6"/>
        <v>2298.02</v>
      </c>
    </row>
    <row r="229" spans="1:6" ht="15.75" x14ac:dyDescent="0.25">
      <c r="A229" s="29" t="s">
        <v>79</v>
      </c>
      <c r="B229" s="30" t="str">
        <f ca="1">IFERROR(INDEX(UNSPSCDes,MATCH(INDIRECT(ADDRESS(ROW(),COLUMN()-1,4)),UNSPSCCode,0)),IF(INDIRECT(ADDRESS(ROW(),COLUMN()-1,4))="31201512","Cinta transparente",""))</f>
        <v>Cinta transparente</v>
      </c>
      <c r="C229" s="31" t="str">
        <f>IFERROR(VLOOKUP("UD",'[1]Informacion '!P:Q,2,FALSE),"")</f>
        <v>Unidad</v>
      </c>
      <c r="D229" s="29">
        <v>25</v>
      </c>
      <c r="E229" s="32">
        <v>25</v>
      </c>
      <c r="F229" s="33">
        <f t="shared" ca="1" si="6"/>
        <v>625</v>
      </c>
    </row>
    <row r="230" spans="1:6" ht="15.75" x14ac:dyDescent="0.25">
      <c r="A230" s="29" t="s">
        <v>79</v>
      </c>
      <c r="B230" s="30" t="str">
        <f ca="1">IFERROR(INDEX(UNSPSCDes,MATCH(INDIRECT(ADDRESS(ROW(),COLUMN()-1,4)),UNSPSCCode,0)),IF(INDIRECT(ADDRESS(ROW(),COLUMN()-1,4))="31201512","Cinta transparente",""))</f>
        <v>Cinta transparente</v>
      </c>
      <c r="C230" s="31" t="str">
        <f>IFERROR(VLOOKUP("UD",'[1]Informacion '!P:Q,2,FALSE),"")</f>
        <v>Unidad</v>
      </c>
      <c r="D230" s="29">
        <v>25</v>
      </c>
      <c r="E230" s="32">
        <v>55.45</v>
      </c>
      <c r="F230" s="33">
        <f t="shared" ca="1" si="6"/>
        <v>1386.25</v>
      </c>
    </row>
    <row r="231" spans="1:6" ht="31.5" x14ac:dyDescent="0.25">
      <c r="A231" s="29" t="s">
        <v>80</v>
      </c>
      <c r="B231" s="30" t="str">
        <f ca="1">IFERROR(INDEX(UNSPSCDes,MATCH(INDIRECT(ADDRESS(ROW(),COLUMN()-1,4)),UNSPSCCode,0)),IF(INDIRECT(ADDRESS(ROW(),COLUMN()-1,4))="41111501","Balanzas de carga superior electrónicos",""))</f>
        <v>Balanzas de carga superior electrónicos</v>
      </c>
      <c r="C231" s="31" t="str">
        <f>IFERROR(VLOOKUP("UD",'[1]Informacion '!P:Q,2,FALSE),"")</f>
        <v>Unidad</v>
      </c>
      <c r="D231" s="29">
        <v>1</v>
      </c>
      <c r="E231" s="32">
        <v>38</v>
      </c>
      <c r="F231" s="33">
        <f t="shared" ca="1" si="6"/>
        <v>38</v>
      </c>
    </row>
    <row r="232" spans="1:6" ht="15.75" x14ac:dyDescent="0.25">
      <c r="A232" s="29" t="s">
        <v>81</v>
      </c>
      <c r="B232" s="30" t="str">
        <f ca="1">IFERROR(INDEX(UNSPSCDes,MATCH(INDIRECT(ADDRESS(ROW(),COLUMN()-1,4)),UNSPSCCode,0)),IF(INDIRECT(ADDRESS(ROW(),COLUMN()-1,4))="44103103","Tóner para impresoras o fax",""))</f>
        <v>Tóner para impresoras o fax</v>
      </c>
      <c r="C232" s="31" t="str">
        <f>IFERROR(VLOOKUP("UD",'[1]Informacion '!P:Q,2,FALSE),"")</f>
        <v>Unidad</v>
      </c>
      <c r="D232" s="29">
        <v>3</v>
      </c>
      <c r="E232" s="32">
        <v>4484</v>
      </c>
      <c r="F232" s="33">
        <f t="shared" ca="1" si="6"/>
        <v>13452</v>
      </c>
    </row>
    <row r="233" spans="1:6" ht="15.75" x14ac:dyDescent="0.25">
      <c r="A233" s="29" t="s">
        <v>81</v>
      </c>
      <c r="B233" s="30" t="str">
        <f ca="1">IFERROR(INDEX(UNSPSCDes,MATCH(INDIRECT(ADDRESS(ROW(),COLUMN()-1,4)),UNSPSCCode,0)),IF(INDIRECT(ADDRESS(ROW(),COLUMN()-1,4))="44103103","Tóner para impresoras o fax",""))</f>
        <v>Tóner para impresoras o fax</v>
      </c>
      <c r="C233" s="31" t="str">
        <f>IFERROR(VLOOKUP("UD",'[1]Informacion '!P:Q,2,FALSE),"")</f>
        <v>Unidad</v>
      </c>
      <c r="D233" s="29">
        <v>4</v>
      </c>
      <c r="E233" s="32">
        <v>3840</v>
      </c>
      <c r="F233" s="33">
        <f t="shared" ca="1" si="6"/>
        <v>15360</v>
      </c>
    </row>
    <row r="234" spans="1:6" ht="15.75" x14ac:dyDescent="0.25">
      <c r="A234" s="29" t="s">
        <v>81</v>
      </c>
      <c r="B234" s="30" t="str">
        <f ca="1">IFERROR(INDEX(UNSPSCDes,MATCH(INDIRECT(ADDRESS(ROW(),COLUMN()-1,4)),UNSPSCCode,0)),IF(INDIRECT(ADDRESS(ROW(),COLUMN()-1,4))="44103103","Tóner para impresoras o fax",""))</f>
        <v>Tóner para impresoras o fax</v>
      </c>
      <c r="C234" s="31" t="str">
        <f>IFERROR(VLOOKUP("UD",'[1]Informacion '!P:Q,2,FALSE),"")</f>
        <v>Unidad</v>
      </c>
      <c r="D234" s="29">
        <v>30</v>
      </c>
      <c r="E234" s="32">
        <v>3780</v>
      </c>
      <c r="F234" s="33">
        <f t="shared" ca="1" si="6"/>
        <v>113400</v>
      </c>
    </row>
    <row r="235" spans="1:6" ht="15.75" x14ac:dyDescent="0.25">
      <c r="A235" s="29" t="s">
        <v>81</v>
      </c>
      <c r="B235" s="30" t="str">
        <f ca="1">IFERROR(INDEX(UNSPSCDes,MATCH(INDIRECT(ADDRESS(ROW(),COLUMN()-1,4)),UNSPSCCode,0)),IF(INDIRECT(ADDRESS(ROW(),COLUMN()-1,4))="44103103","Tóner para impresoras o fax",""))</f>
        <v>Tóner para impresoras o fax</v>
      </c>
      <c r="C235" s="31" t="str">
        <f>IFERROR(VLOOKUP("UD",'[1]Informacion '!P:Q,2,FALSE),"")</f>
        <v>Unidad</v>
      </c>
      <c r="D235" s="29">
        <v>10</v>
      </c>
      <c r="E235" s="32">
        <v>2380</v>
      </c>
      <c r="F235" s="33">
        <f t="shared" ca="1" si="6"/>
        <v>23800</v>
      </c>
    </row>
    <row r="236" spans="1:6" ht="15.75" x14ac:dyDescent="0.25">
      <c r="A236" s="29" t="s">
        <v>81</v>
      </c>
      <c r="B236" s="30" t="str">
        <f ca="1">IFERROR(INDEX(UNSPSCDes,MATCH(INDIRECT(ADDRESS(ROW(),COLUMN()-1,4)),UNSPSCCode,0)),IF(INDIRECT(ADDRESS(ROW(),COLUMN()-1,4))="44103103","Tóner para impresoras o fax",""))</f>
        <v>Tóner para impresoras o fax</v>
      </c>
      <c r="C236" s="31" t="str">
        <f>IFERROR(VLOOKUP("UD",'[1]Informacion '!P:Q,2,FALSE),"")</f>
        <v>Unidad</v>
      </c>
      <c r="D236" s="29">
        <v>6</v>
      </c>
      <c r="E236" s="32">
        <v>5300</v>
      </c>
      <c r="F236" s="33">
        <f t="shared" ca="1" si="6"/>
        <v>31800</v>
      </c>
    </row>
    <row r="237" spans="1:6" ht="15.75" x14ac:dyDescent="0.25">
      <c r="A237" s="29" t="s">
        <v>82</v>
      </c>
      <c r="B237" s="30" t="str">
        <f ca="1">IFERROR(INDEX(UNSPSCDes,MATCH(INDIRECT(ADDRESS(ROW(),COLUMN()-1,4)),UNSPSCCode,0)),IF(INDIRECT(ADDRESS(ROW(),COLUMN()-1,4))="44103105","Cartuchos de tinta",""))</f>
        <v>Cartuchos de tinta</v>
      </c>
      <c r="C237" s="31" t="str">
        <f>IFERROR(VLOOKUP("UD",'[1]Informacion '!P:Q,2,FALSE),"")</f>
        <v>Unidad</v>
      </c>
      <c r="D237" s="29">
        <v>1</v>
      </c>
      <c r="E237" s="32">
        <v>1570</v>
      </c>
      <c r="F237" s="33">
        <f t="shared" ca="1" si="6"/>
        <v>1570</v>
      </c>
    </row>
    <row r="238" spans="1:6" ht="15.75" x14ac:dyDescent="0.25">
      <c r="A238" s="29" t="s">
        <v>82</v>
      </c>
      <c r="B238" s="30" t="str">
        <f ca="1">IFERROR(INDEX(UNSPSCDes,MATCH(INDIRECT(ADDRESS(ROW(),COLUMN()-1,4)),UNSPSCCode,0)),IF(INDIRECT(ADDRESS(ROW(),COLUMN()-1,4))="44103105","Cartuchos de tinta",""))</f>
        <v>Cartuchos de tinta</v>
      </c>
      <c r="C238" s="31" t="str">
        <f>IFERROR(VLOOKUP("UD",'[1]Informacion '!P:Q,2,FALSE),"")</f>
        <v>Unidad</v>
      </c>
      <c r="D238" s="29">
        <v>1</v>
      </c>
      <c r="E238" s="32">
        <v>1840</v>
      </c>
      <c r="F238" s="33">
        <f t="shared" ca="1" si="6"/>
        <v>1840</v>
      </c>
    </row>
    <row r="239" spans="1:6" ht="15.75" x14ac:dyDescent="0.25">
      <c r="A239" s="29" t="s">
        <v>81</v>
      </c>
      <c r="B239" s="30" t="str">
        <f ca="1">IFERROR(INDEX(UNSPSCDes,MATCH(INDIRECT(ADDRESS(ROW(),COLUMN()-1,4)),UNSPSCCode,0)),IF(INDIRECT(ADDRESS(ROW(),COLUMN()-1,4))="44103103","Tóner para impresoras o fax",""))</f>
        <v>Tóner para impresoras o fax</v>
      </c>
      <c r="C239" s="31" t="str">
        <f>IFERROR(VLOOKUP("UD",'[1]Informacion '!P:Q,2,FALSE),"")</f>
        <v>Unidad</v>
      </c>
      <c r="D239" s="29">
        <v>8</v>
      </c>
      <c r="E239" s="32">
        <v>2380</v>
      </c>
      <c r="F239" s="33">
        <f t="shared" ca="1" si="6"/>
        <v>19040</v>
      </c>
    </row>
    <row r="240" spans="1:6" ht="15.75" x14ac:dyDescent="0.25">
      <c r="A240" s="29" t="s">
        <v>81</v>
      </c>
      <c r="B240" s="30" t="str">
        <f ca="1">IFERROR(INDEX(UNSPSCDes,MATCH(INDIRECT(ADDRESS(ROW(),COLUMN()-1,4)),UNSPSCCode,0)),IF(INDIRECT(ADDRESS(ROW(),COLUMN()-1,4))="44103103","Tóner para impresoras o fax",""))</f>
        <v>Tóner para impresoras o fax</v>
      </c>
      <c r="C240" s="31" t="str">
        <f>IFERROR(VLOOKUP("UD",'[1]Informacion '!P:Q,2,FALSE),"")</f>
        <v>Unidad</v>
      </c>
      <c r="D240" s="29">
        <v>1</v>
      </c>
      <c r="E240" s="32">
        <v>12475</v>
      </c>
      <c r="F240" s="33">
        <f t="shared" ca="1" si="6"/>
        <v>12475</v>
      </c>
    </row>
    <row r="241" spans="1:6" ht="31.5" x14ac:dyDescent="0.25">
      <c r="A241" s="29">
        <v>44111503</v>
      </c>
      <c r="B241" s="30" t="str">
        <f ca="1">IFERROR(INDEX(UNSPSCDes,MATCH(INDIRECT(ADDRESS(ROW(),COLUMN()-1,4)),UNSPSCCode,0)),IF(INDIRECT(ADDRESS(ROW(),COLUMN()-1,4))="44103103","Tóner para impresoras o fax",""))</f>
        <v>Organizadores o bandejas para el escritorio</v>
      </c>
      <c r="C241" s="31" t="str">
        <f>IFERROR(VLOOKUP("UD",'[1]Informacion '!P:Q,2,FALSE),"")</f>
        <v>Unidad</v>
      </c>
      <c r="D241" s="29">
        <v>3</v>
      </c>
      <c r="E241" s="32">
        <v>500</v>
      </c>
      <c r="F241" s="33">
        <f t="shared" ca="1" si="6"/>
        <v>1500</v>
      </c>
    </row>
    <row r="242" spans="1:6" ht="31.5" x14ac:dyDescent="0.25">
      <c r="A242" s="29">
        <v>14111526</v>
      </c>
      <c r="B242" s="30" t="str">
        <f ca="1">IFERROR(INDEX(UNSPSCDes,MATCH(INDIRECT(ADDRESS(ROW(),COLUMN()-1,4)),UNSPSCCode,0)),IF(INDIRECT(ADDRESS(ROW(),COLUMN()-1,4))="44103103","Tóner para impresoras o fax",""))</f>
        <v>Papel libretas o libros de mensajes telefónicos</v>
      </c>
      <c r="C242" s="31" t="str">
        <f>IFERROR(VLOOKUP("UD",'[1]Informacion '!P:Q,2,FALSE),"")</f>
        <v>Unidad</v>
      </c>
      <c r="D242" s="29">
        <v>20</v>
      </c>
      <c r="E242" s="32">
        <v>800</v>
      </c>
      <c r="F242" s="33">
        <f t="shared" ca="1" si="6"/>
        <v>16000</v>
      </c>
    </row>
    <row r="243" spans="1:6" ht="15.75" x14ac:dyDescent="0.25">
      <c r="A243" s="19"/>
      <c r="B243" s="19"/>
      <c r="C243" s="19"/>
      <c r="D243" s="19"/>
      <c r="E243" s="34" t="s">
        <v>46</v>
      </c>
      <c r="F243" s="35">
        <f ca="1">SUM(Table17[MONTO TOTAL ESTIMADO])</f>
        <v>345951.19</v>
      </c>
    </row>
    <row r="244" spans="1:6" ht="16.5" thickBot="1" x14ac:dyDescent="0.3">
      <c r="A244" s="19"/>
      <c r="B244" s="19"/>
      <c r="C244" s="19"/>
      <c r="D244" s="19"/>
      <c r="E244" s="19"/>
      <c r="F244" s="19"/>
    </row>
    <row r="245" spans="1:6" ht="32.25" thickBot="1" x14ac:dyDescent="0.3">
      <c r="A245" s="20" t="s">
        <v>18</v>
      </c>
      <c r="B245" s="20" t="s">
        <v>19</v>
      </c>
      <c r="C245" s="20" t="s">
        <v>20</v>
      </c>
      <c r="D245" s="20" t="s">
        <v>21</v>
      </c>
      <c r="E245" s="20" t="s">
        <v>22</v>
      </c>
      <c r="F245" s="20" t="s">
        <v>23</v>
      </c>
    </row>
    <row r="246" spans="1:6" ht="16.5" thickBot="1" x14ac:dyDescent="0.3">
      <c r="A246" s="21" t="s">
        <v>84</v>
      </c>
      <c r="B246" s="21" t="s">
        <v>25</v>
      </c>
      <c r="C246" s="21" t="s">
        <v>26</v>
      </c>
      <c r="D246" s="21" t="s">
        <v>27</v>
      </c>
      <c r="E246" s="21" t="s">
        <v>123</v>
      </c>
      <c r="F246" s="21" t="s">
        <v>17</v>
      </c>
    </row>
    <row r="247" spans="1:6" ht="16.5" thickBot="1" x14ac:dyDescent="0.3">
      <c r="A247" s="47" t="s">
        <v>29</v>
      </c>
      <c r="B247" s="22" t="s">
        <v>30</v>
      </c>
      <c r="C247" s="23">
        <v>45204</v>
      </c>
      <c r="D247" s="47" t="s">
        <v>31</v>
      </c>
      <c r="E247" s="24" t="s">
        <v>32</v>
      </c>
      <c r="F247" s="25"/>
    </row>
    <row r="248" spans="1:6" ht="16.5" thickBot="1" x14ac:dyDescent="0.3">
      <c r="A248" s="48"/>
      <c r="B248" s="22" t="s">
        <v>33</v>
      </c>
      <c r="C248" s="27">
        <f>IF(C247="","",IF(AND(MONTH(C247)&gt;=1,MONTH(C247)&lt;=3),1,IF(AND(MONTH(C247)&gt;=4,MONTH(C247)&lt;=6),2,IF(AND(MONTH(C247)&gt;=7,MONTH(C247)&lt;=9),3,4))))</f>
        <v>4</v>
      </c>
      <c r="D248" s="48"/>
      <c r="E248" s="24" t="s">
        <v>34</v>
      </c>
      <c r="F248" s="25"/>
    </row>
    <row r="249" spans="1:6" ht="16.5" thickBot="1" x14ac:dyDescent="0.3">
      <c r="A249" s="48"/>
      <c r="B249" s="22" t="s">
        <v>35</v>
      </c>
      <c r="C249" s="23">
        <v>45205</v>
      </c>
      <c r="D249" s="48"/>
      <c r="E249" s="24" t="s">
        <v>36</v>
      </c>
      <c r="F249" s="25"/>
    </row>
    <row r="250" spans="1:6" ht="16.5" thickBot="1" x14ac:dyDescent="0.3">
      <c r="A250" s="48"/>
      <c r="B250" s="22" t="s">
        <v>33</v>
      </c>
      <c r="C250" s="27">
        <f>IF(C249="","",IF(AND(MONTH(C249)&gt;=1,MONTH(C249)&lt;=3),1,IF(AND(MONTH(C249)&gt;=4,MONTH(C249)&lt;=6),2,IF(AND(MONTH(C249)&gt;=7,MONTH(C249)&lt;=9),3,4))))</f>
        <v>4</v>
      </c>
      <c r="D250" s="48"/>
      <c r="E250" s="24" t="s">
        <v>37</v>
      </c>
      <c r="F250" s="25"/>
    </row>
    <row r="251" spans="1:6" ht="16.5" thickBot="1" x14ac:dyDescent="0.3">
      <c r="A251" s="19"/>
      <c r="B251" s="19"/>
      <c r="C251" s="19"/>
      <c r="D251" s="19"/>
      <c r="E251" s="19"/>
      <c r="F251" s="19"/>
    </row>
    <row r="252" spans="1:6" ht="16.5" thickBot="1" x14ac:dyDescent="0.3">
      <c r="A252" s="28" t="s">
        <v>38</v>
      </c>
      <c r="B252" s="28" t="s">
        <v>39</v>
      </c>
      <c r="C252" s="28" t="s">
        <v>40</v>
      </c>
      <c r="D252" s="28" t="s">
        <v>41</v>
      </c>
      <c r="E252" s="28" t="s">
        <v>42</v>
      </c>
      <c r="F252" s="28" t="s">
        <v>43</v>
      </c>
    </row>
    <row r="253" spans="1:6" ht="15.75" x14ac:dyDescent="0.25">
      <c r="A253" s="29" t="s">
        <v>85</v>
      </c>
      <c r="B253" s="30" t="str">
        <f ca="1">IFERROR(INDEX(UNSPSCDes,MATCH(INDIRECT(ADDRESS(ROW(),COLUMN()-1,4)),UNSPSCCode,0)),IF(INDIRECT(ADDRESS(ROW(),COLUMN()-1,4))="47131604","Escobas",""))</f>
        <v>Escobas</v>
      </c>
      <c r="C253" s="31" t="str">
        <f>IFERROR(VLOOKUP("UD",'[1]Informacion '!P:Q,2,FALSE),"")</f>
        <v>Unidad</v>
      </c>
      <c r="D253" s="29">
        <v>3</v>
      </c>
      <c r="E253" s="32">
        <v>169.5</v>
      </c>
      <c r="F253" s="33">
        <f t="shared" ref="F253:F264" ca="1" si="7">INDIRECT(ADDRESS(ROW(),COLUMN()-2,4))*INDIRECT(ADDRESS(ROW(),COLUMN()-1,4))</f>
        <v>508.5</v>
      </c>
    </row>
    <row r="254" spans="1:6" ht="15.75" x14ac:dyDescent="0.25">
      <c r="A254" s="29" t="s">
        <v>86</v>
      </c>
      <c r="B254" s="30" t="str">
        <f ca="1">IFERROR(INDEX(UNSPSCDes,MATCH(INDIRECT(ADDRESS(ROW(),COLUMN()-1,4)),UNSPSCCode,0)),IF(INDIRECT(ADDRESS(ROW(),COLUMN()-1,4))="47131803","Desinfectantes para uso doméstico",""))</f>
        <v>Desinfectantes para uso doméstico</v>
      </c>
      <c r="C254" s="31" t="str">
        <f>IFERROR(VLOOKUP("UD",'[1]Informacion '!P:Q,2,FALSE),"")</f>
        <v>Unidad</v>
      </c>
      <c r="D254" s="29">
        <v>75</v>
      </c>
      <c r="E254" s="32">
        <v>90</v>
      </c>
      <c r="F254" s="33">
        <f t="shared" ca="1" si="7"/>
        <v>6750</v>
      </c>
    </row>
    <row r="255" spans="1:6" ht="15.75" x14ac:dyDescent="0.25">
      <c r="A255" s="29" t="s">
        <v>88</v>
      </c>
      <c r="B255" s="30" t="str">
        <f ca="1">IFERROR(INDEX(UNSPSCDes,MATCH(INDIRECT(ADDRESS(ROW(),COLUMN()-1,4)),UNSPSCCode,0)),IF(INDIRECT(ADDRESS(ROW(),COLUMN()-1,4))="41121813","Cubetas",""))</f>
        <v>Cubetas</v>
      </c>
      <c r="C255" s="31" t="str">
        <f>IFERROR(VLOOKUP("UD",'[1]Informacion '!P:Q,2,FALSE),"")</f>
        <v>Unidad</v>
      </c>
      <c r="D255" s="29">
        <v>1</v>
      </c>
      <c r="E255" s="32">
        <v>555.65</v>
      </c>
      <c r="F255" s="33">
        <f t="shared" ca="1" si="7"/>
        <v>555.65</v>
      </c>
    </row>
    <row r="256" spans="1:6" ht="15.75" x14ac:dyDescent="0.25">
      <c r="A256" s="29" t="s">
        <v>89</v>
      </c>
      <c r="B256" s="30" t="str">
        <f ca="1">IFERROR(INDEX(UNSPSCDes,MATCH(INDIRECT(ADDRESS(ROW(),COLUMN()-1,4)),UNSPSCCode,0)),IF(INDIRECT(ADDRESS(ROW(),COLUMN()-1,4))="12141901","Cloro cl",""))</f>
        <v>Cloro cl</v>
      </c>
      <c r="C256" s="31" t="str">
        <f>IFERROR(VLOOKUP("GAL",'[1]Informacion '!P:Q,2,FALSE),"")</f>
        <v>Galón</v>
      </c>
      <c r="D256" s="29">
        <v>75</v>
      </c>
      <c r="E256" s="32">
        <v>170</v>
      </c>
      <c r="F256" s="33">
        <f t="shared" ca="1" si="7"/>
        <v>12750</v>
      </c>
    </row>
    <row r="257" spans="1:6" ht="15.75" x14ac:dyDescent="0.25">
      <c r="A257" s="29" t="s">
        <v>90</v>
      </c>
      <c r="B257" s="30" t="str">
        <f ca="1">IFERROR(INDEX(UNSPSCDes,MATCH(INDIRECT(ADDRESS(ROW(),COLUMN()-1,4)),UNSPSCCode,0)),IF(INDIRECT(ADDRESS(ROW(),COLUMN()-1,4))="53131608","Jabones",""))</f>
        <v>Jabones</v>
      </c>
      <c r="C257" s="31" t="str">
        <f>IFERROR(VLOOKUP("GAL",'[1]Informacion '!P:Q,2,FALSE),"")</f>
        <v>Galón</v>
      </c>
      <c r="D257" s="29">
        <v>75</v>
      </c>
      <c r="E257" s="32">
        <v>192</v>
      </c>
      <c r="F257" s="33">
        <f t="shared" ca="1" si="7"/>
        <v>14400</v>
      </c>
    </row>
    <row r="258" spans="1:6" ht="15.75" x14ac:dyDescent="0.25">
      <c r="A258" s="29" t="s">
        <v>86</v>
      </c>
      <c r="B258" s="30" t="str">
        <f ca="1">IFERROR(INDEX(UNSPSCDes,MATCH(INDIRECT(ADDRESS(ROW(),COLUMN()-1,4)),UNSPSCCode,0)),IF(INDIRECT(ADDRESS(ROW(),COLUMN()-1,4))="47131803","Desinfectantes para uso doméstico",""))</f>
        <v>Desinfectantes para uso doméstico</v>
      </c>
      <c r="C258" s="31" t="str">
        <f>IFERROR(VLOOKUP("GAL",'[1]Informacion '!P:Q,2,FALSE),"")</f>
        <v>Galón</v>
      </c>
      <c r="D258" s="29">
        <v>75</v>
      </c>
      <c r="E258" s="32">
        <v>319</v>
      </c>
      <c r="F258" s="33">
        <f t="shared" ca="1" si="7"/>
        <v>23925</v>
      </c>
    </row>
    <row r="259" spans="1:6" ht="15.75" x14ac:dyDescent="0.25">
      <c r="A259" s="29" t="s">
        <v>91</v>
      </c>
      <c r="B259" s="30" t="str">
        <f ca="1">IFERROR(INDEX(UNSPSCDes,MATCH(INDIRECT(ADDRESS(ROW(),COLUMN()-1,4)),UNSPSCCode,0)),IF(INDIRECT(ADDRESS(ROW(),COLUMN()-1,4))="47121701","Bolsas de basura",""))</f>
        <v>Bolsas de basura</v>
      </c>
      <c r="C259" s="31" t="str">
        <f>IFERROR(VLOOKUP("PAQ",'[1]Informacion '!P:Q,2,FALSE),"")</f>
        <v>Paquete</v>
      </c>
      <c r="D259" s="29">
        <v>8</v>
      </c>
      <c r="E259" s="32">
        <v>1750</v>
      </c>
      <c r="F259" s="33">
        <f t="shared" ca="1" si="7"/>
        <v>14000</v>
      </c>
    </row>
    <row r="260" spans="1:6" ht="15.75" x14ac:dyDescent="0.25">
      <c r="A260" s="29" t="s">
        <v>91</v>
      </c>
      <c r="B260" s="30" t="str">
        <f ca="1">IFERROR(INDEX(UNSPSCDes,MATCH(INDIRECT(ADDRESS(ROW(),COLUMN()-1,4)),UNSPSCCode,0)),IF(INDIRECT(ADDRESS(ROW(),COLUMN()-1,4))="47121701","Bolsas de basura",""))</f>
        <v>Bolsas de basura</v>
      </c>
      <c r="C260" s="31" t="str">
        <f>IFERROR(VLOOKUP("PAQ",'[1]Informacion '!P:Q,2,FALSE),"")</f>
        <v>Paquete</v>
      </c>
      <c r="D260" s="29">
        <v>8</v>
      </c>
      <c r="E260" s="32">
        <v>442</v>
      </c>
      <c r="F260" s="33">
        <f t="shared" ca="1" si="7"/>
        <v>3536</v>
      </c>
    </row>
    <row r="261" spans="1:6" ht="15.75" x14ac:dyDescent="0.25">
      <c r="A261" s="29" t="s">
        <v>92</v>
      </c>
      <c r="B261" s="30" t="str">
        <f ca="1">IFERROR(INDEX(UNSPSCDes,MATCH(INDIRECT(ADDRESS(ROW(),COLUMN()-1,4)),UNSPSCCode,0)),IF(INDIRECT(ADDRESS(ROW(),COLUMN()-1,4))="47131801","Limpiadores de pisos",""))</f>
        <v>Limpiadores de pisos</v>
      </c>
      <c r="C261" s="31" t="str">
        <f>IFERROR(VLOOKUP("UD",'[1]Informacion '!P:Q,2,FALSE),"")</f>
        <v>Unidad</v>
      </c>
      <c r="D261" s="29">
        <v>75</v>
      </c>
      <c r="E261" s="32">
        <v>169</v>
      </c>
      <c r="F261" s="33">
        <f t="shared" ca="1" si="7"/>
        <v>12675</v>
      </c>
    </row>
    <row r="262" spans="1:6" ht="15.75" x14ac:dyDescent="0.25">
      <c r="A262" s="29" t="s">
        <v>93</v>
      </c>
      <c r="B262" s="30" t="str">
        <f ca="1">IFERROR(INDEX(UNSPSCDes,MATCH(INDIRECT(ADDRESS(ROW(),COLUMN()-1,4)),UNSPSCCode,0)),IF(INDIRECT(ADDRESS(ROW(),COLUMN()-1,4))="46181504","Guantes de protección",""))</f>
        <v>Guantes de protección</v>
      </c>
      <c r="C262" s="31" t="str">
        <f>IFERROR(VLOOKUP("UD",'[1]Informacion '!P:Q,2,FALSE),"")</f>
        <v>Unidad</v>
      </c>
      <c r="D262" s="29">
        <v>5</v>
      </c>
      <c r="E262" s="32">
        <v>116</v>
      </c>
      <c r="F262" s="33">
        <f t="shared" ca="1" si="7"/>
        <v>580</v>
      </c>
    </row>
    <row r="263" spans="1:6" ht="15.75" x14ac:dyDescent="0.25">
      <c r="A263" s="29" t="s">
        <v>94</v>
      </c>
      <c r="B263" s="30" t="str">
        <f ca="1">IFERROR(INDEX(UNSPSCDes,MATCH(INDIRECT(ADDRESS(ROW(),COLUMN()-1,4)),UNSPSCCode,0)),IF(INDIRECT(ADDRESS(ROW(),COLUMN()-1,4))="47131808","Germicida seco",""))</f>
        <v>Germicida seco</v>
      </c>
      <c r="C263" s="31" t="str">
        <f>IFERROR(VLOOKUP("UD",'[1]Informacion '!P:Q,2,FALSE),"")</f>
        <v>Unidad</v>
      </c>
      <c r="D263" s="29">
        <v>5</v>
      </c>
      <c r="E263" s="32">
        <v>255</v>
      </c>
      <c r="F263" s="33">
        <f t="shared" ca="1" si="7"/>
        <v>1275</v>
      </c>
    </row>
    <row r="264" spans="1:6" ht="15.75" x14ac:dyDescent="0.25">
      <c r="A264" s="29" t="s">
        <v>95</v>
      </c>
      <c r="B264" s="30" t="str">
        <f ca="1">IFERROR(INDEX(UNSPSCDes,MATCH(INDIRECT(ADDRESS(ROW(),COLUMN()-1,4)),UNSPSCCode,0)),IF(INDIRECT(ADDRESS(ROW(),COLUMN()-1,4))="60121134","Papel metálico",""))</f>
        <v>Papel metálico</v>
      </c>
      <c r="C264" s="31" t="str">
        <f>IFERROR(VLOOKUP("UD",'[1]Informacion '!P:Q,2,FALSE),"")</f>
        <v>Unidad</v>
      </c>
      <c r="D264" s="29">
        <v>5</v>
      </c>
      <c r="E264" s="32">
        <v>325</v>
      </c>
      <c r="F264" s="33">
        <f t="shared" ca="1" si="7"/>
        <v>1625</v>
      </c>
    </row>
    <row r="265" spans="1:6" ht="15.75" x14ac:dyDescent="0.25">
      <c r="A265" s="19"/>
      <c r="B265" s="19"/>
      <c r="C265" s="19"/>
      <c r="D265" s="19"/>
      <c r="E265" s="34" t="s">
        <v>46</v>
      </c>
      <c r="F265" s="35">
        <f ca="1">SUM(Table18[MONTO TOTAL ESTIMADO])</f>
        <v>92580.15</v>
      </c>
    </row>
    <row r="266" spans="1:6" ht="16.5" thickBot="1" x14ac:dyDescent="0.3">
      <c r="A266" s="19"/>
      <c r="B266" s="19"/>
      <c r="C266" s="19"/>
      <c r="D266" s="19"/>
      <c r="E266" s="19"/>
      <c r="F266" s="19"/>
    </row>
    <row r="267" spans="1:6" ht="32.25" thickBot="1" x14ac:dyDescent="0.3">
      <c r="A267" s="20" t="s">
        <v>18</v>
      </c>
      <c r="B267" s="20" t="s">
        <v>19</v>
      </c>
      <c r="C267" s="20" t="s">
        <v>20</v>
      </c>
      <c r="D267" s="20" t="s">
        <v>21</v>
      </c>
      <c r="E267" s="20" t="s">
        <v>22</v>
      </c>
      <c r="F267" s="20" t="s">
        <v>23</v>
      </c>
    </row>
    <row r="268" spans="1:6" ht="16.5" thickBot="1" x14ac:dyDescent="0.3">
      <c r="A268" s="21" t="s">
        <v>96</v>
      </c>
      <c r="B268" s="21" t="s">
        <v>25</v>
      </c>
      <c r="C268" s="21" t="s">
        <v>26</v>
      </c>
      <c r="D268" s="21" t="s">
        <v>27</v>
      </c>
      <c r="E268" s="21" t="s">
        <v>107</v>
      </c>
      <c r="F268" s="21" t="s">
        <v>17</v>
      </c>
    </row>
    <row r="269" spans="1:6" ht="16.5" thickBot="1" x14ac:dyDescent="0.3">
      <c r="A269" s="47" t="s">
        <v>29</v>
      </c>
      <c r="B269" s="22" t="s">
        <v>30</v>
      </c>
      <c r="C269" s="23">
        <v>45204</v>
      </c>
      <c r="D269" s="47" t="s">
        <v>31</v>
      </c>
      <c r="E269" s="24" t="s">
        <v>32</v>
      </c>
      <c r="F269" s="25"/>
    </row>
    <row r="270" spans="1:6" ht="16.5" thickBot="1" x14ac:dyDescent="0.3">
      <c r="A270" s="48"/>
      <c r="B270" s="22" t="s">
        <v>33</v>
      </c>
      <c r="C270" s="27">
        <f>IF(C269="","",IF(AND(MONTH(C269)&gt;=1,MONTH(C269)&lt;=3),1,IF(AND(MONTH(C269)&gt;=4,MONTH(C269)&lt;=6),2,IF(AND(MONTH(C269)&gt;=7,MONTH(C269)&lt;=9),3,4))))</f>
        <v>4</v>
      </c>
      <c r="D270" s="48"/>
      <c r="E270" s="24" t="s">
        <v>34</v>
      </c>
      <c r="F270" s="25"/>
    </row>
    <row r="271" spans="1:6" ht="16.5" thickBot="1" x14ac:dyDescent="0.3">
      <c r="A271" s="48"/>
      <c r="B271" s="22" t="s">
        <v>35</v>
      </c>
      <c r="C271" s="23">
        <v>45205</v>
      </c>
      <c r="D271" s="48"/>
      <c r="E271" s="24" t="s">
        <v>36</v>
      </c>
      <c r="F271" s="25"/>
    </row>
    <row r="272" spans="1:6" ht="16.5" thickBot="1" x14ac:dyDescent="0.3">
      <c r="A272" s="48"/>
      <c r="B272" s="22" t="s">
        <v>33</v>
      </c>
      <c r="C272" s="27">
        <f>IF(C271="","",IF(AND(MONTH(C271)&gt;=1,MONTH(C271)&lt;=3),1,IF(AND(MONTH(C271)&gt;=4,MONTH(C271)&lt;=6),2,IF(AND(MONTH(C271)&gt;=7,MONTH(C271)&lt;=9),3,4))))</f>
        <v>4</v>
      </c>
      <c r="D272" s="48"/>
      <c r="E272" s="24" t="s">
        <v>37</v>
      </c>
      <c r="F272" s="25"/>
    </row>
    <row r="273" spans="1:6" ht="16.5" thickBot="1" x14ac:dyDescent="0.3">
      <c r="A273" s="19"/>
      <c r="B273" s="19"/>
      <c r="C273" s="19"/>
      <c r="D273" s="19"/>
      <c r="E273" s="19"/>
      <c r="F273" s="19"/>
    </row>
    <row r="274" spans="1:6" ht="16.5" thickBot="1" x14ac:dyDescent="0.3">
      <c r="A274" s="28" t="s">
        <v>38</v>
      </c>
      <c r="B274" s="28" t="s">
        <v>39</v>
      </c>
      <c r="C274" s="28" t="s">
        <v>40</v>
      </c>
      <c r="D274" s="28" t="s">
        <v>41</v>
      </c>
      <c r="E274" s="28" t="s">
        <v>42</v>
      </c>
      <c r="F274" s="28" t="s">
        <v>43</v>
      </c>
    </row>
    <row r="275" spans="1:6" ht="31.5" x14ac:dyDescent="0.25">
      <c r="A275" s="29" t="s">
        <v>97</v>
      </c>
      <c r="B275" s="30" t="str">
        <f ca="1">IFERROR(INDEX(UNSPSCDes,MATCH(INDIRECT(ADDRESS(ROW(),COLUMN()-1,4)),UNSPSCCode,0)),IF(INDIRECT(ADDRESS(ROW(),COLUMN()-1,4))="50161509","Azucares naturales o productos endulzantes",""))</f>
        <v>Azucares naturales o productos endulzantes</v>
      </c>
      <c r="C275" s="31" t="str">
        <f>IFERROR(VLOOKUP("UD",'[1]Informacion '!P:Q,2,FALSE),"")</f>
        <v>Unidad</v>
      </c>
      <c r="D275" s="29">
        <v>8</v>
      </c>
      <c r="E275" s="32">
        <v>210</v>
      </c>
      <c r="F275" s="33">
        <f t="shared" ref="F275:F284" ca="1" si="8">INDIRECT(ADDRESS(ROW(),COLUMN()-2,4))*INDIRECT(ADDRESS(ROW(),COLUMN()-1,4))</f>
        <v>1680</v>
      </c>
    </row>
    <row r="276" spans="1:6" ht="31.5" x14ac:dyDescent="0.25">
      <c r="A276" s="29" t="s">
        <v>97</v>
      </c>
      <c r="B276" s="30" t="str">
        <f ca="1">IFERROR(INDEX(UNSPSCDes,MATCH(INDIRECT(ADDRESS(ROW(),COLUMN()-1,4)),UNSPSCCode,0)),IF(INDIRECT(ADDRESS(ROW(),COLUMN()-1,4))="50161509","Azucares naturales o productos endulzantes",""))</f>
        <v>Azucares naturales o productos endulzantes</v>
      </c>
      <c r="C276" s="31" t="str">
        <f>IFERROR(VLOOKUP("UD",'[1]Informacion '!P:Q,2,FALSE),"")</f>
        <v>Unidad</v>
      </c>
      <c r="D276" s="29">
        <v>20</v>
      </c>
      <c r="E276" s="32">
        <v>210</v>
      </c>
      <c r="F276" s="33">
        <f t="shared" ca="1" si="8"/>
        <v>4200</v>
      </c>
    </row>
    <row r="277" spans="1:6" ht="15.75" x14ac:dyDescent="0.25">
      <c r="A277" s="29" t="s">
        <v>98</v>
      </c>
      <c r="B277" s="30" t="str">
        <f ca="1">IFERROR(INDEX(UNSPSCDes,MATCH(INDIRECT(ADDRESS(ROW(),COLUMN()-1,4)),UNSPSCCode,0)),IF(INDIRECT(ADDRESS(ROW(),COLUMN()-1,4))="50201706","Café",""))</f>
        <v>Café</v>
      </c>
      <c r="C277" s="31" t="str">
        <f>IFERROR(VLOOKUP("UD",'[1]Informacion '!P:Q,2,FALSE),"")</f>
        <v>Unidad</v>
      </c>
      <c r="D277" s="29">
        <v>100</v>
      </c>
      <c r="E277" s="32">
        <v>305</v>
      </c>
      <c r="F277" s="33">
        <f t="shared" ca="1" si="8"/>
        <v>30500</v>
      </c>
    </row>
    <row r="278" spans="1:6" ht="15.75" x14ac:dyDescent="0.25">
      <c r="A278" s="29" t="s">
        <v>99</v>
      </c>
      <c r="B278" s="30" t="str">
        <f ca="1">IFERROR(INDEX(UNSPSCDes,MATCH(INDIRECT(ADDRESS(ROW(),COLUMN()-1,4)),UNSPSCCode,0)),IF(INDIRECT(ADDRESS(ROW(),COLUMN()-1,4))="50201714","Cremas no lácteas",""))</f>
        <v>Cremas no lácteas</v>
      </c>
      <c r="C278" s="31" t="str">
        <f>IFERROR(VLOOKUP("UD",'[1]Informacion '!P:Q,2,FALSE),"")</f>
        <v>Unidad</v>
      </c>
      <c r="D278" s="29">
        <v>25</v>
      </c>
      <c r="E278" s="32">
        <v>485</v>
      </c>
      <c r="F278" s="33">
        <f t="shared" ca="1" si="8"/>
        <v>12125</v>
      </c>
    </row>
    <row r="279" spans="1:6" ht="31.5" x14ac:dyDescent="0.25">
      <c r="A279" s="29" t="s">
        <v>100</v>
      </c>
      <c r="B279" s="30" t="str">
        <f ca="1">IFERROR(INDEX(UNSPSCDes,MATCH(INDIRECT(ADDRESS(ROW(),COLUMN()-1,4)),UNSPSCCode,0)),IF(INDIRECT(ADDRESS(ROW(),COLUMN()-1,4))="50131701","Productos de leche o mantequilla frescos",""))</f>
        <v>Productos de leche o mantequilla frescos</v>
      </c>
      <c r="C279" s="31" t="str">
        <f>IFERROR(VLOOKUP("UD",'[1]Informacion '!P:Q,2,FALSE),"")</f>
        <v>Unidad</v>
      </c>
      <c r="D279" s="29">
        <v>6</v>
      </c>
      <c r="E279" s="32">
        <v>1040</v>
      </c>
      <c r="F279" s="33">
        <f t="shared" ca="1" si="8"/>
        <v>6240</v>
      </c>
    </row>
    <row r="280" spans="1:6" ht="15.75" x14ac:dyDescent="0.25">
      <c r="A280" s="29" t="s">
        <v>101</v>
      </c>
      <c r="B280" s="30" t="str">
        <f ca="1">IFERROR(INDEX(UNSPSCDes,MATCH(INDIRECT(ADDRESS(ROW(),COLUMN()-1,4)),UNSPSCCode,0)),IF(INDIRECT(ADDRESS(ROW(),COLUMN()-1,4))="50201711","Té instantáneo",""))</f>
        <v>Té instantáneo</v>
      </c>
      <c r="C280" s="31" t="str">
        <f>IFERROR(VLOOKUP("CAJ",'[1]Informacion '!P:Q,2,FALSE),"")</f>
        <v>Caja</v>
      </c>
      <c r="D280" s="29">
        <v>100</v>
      </c>
      <c r="E280" s="32">
        <v>82.5</v>
      </c>
      <c r="F280" s="33">
        <f t="shared" ca="1" si="8"/>
        <v>8250</v>
      </c>
    </row>
    <row r="281" spans="1:6" ht="15.75" x14ac:dyDescent="0.25">
      <c r="A281" s="29" t="s">
        <v>124</v>
      </c>
      <c r="B281" s="30" t="str">
        <f ca="1">IFERROR(INDEX(UNSPSCDes,MATCH(INDIRECT(ADDRESS(ROW(),COLUMN()-1,4)),UNSPSCCode,0)),IF(INDIRECT(ADDRESS(ROW(),COLUMN()-1,4))="50161815","Goma de mascar",""))</f>
        <v>Goma de mascar</v>
      </c>
      <c r="C281" s="31" t="str">
        <f>IFERROR(VLOOKUP("UD",'[1]Informacion '!P:Q,2,FALSE),"")</f>
        <v>Unidad</v>
      </c>
      <c r="D281" s="29">
        <v>3</v>
      </c>
      <c r="E281" s="32">
        <v>260</v>
      </c>
      <c r="F281" s="33">
        <f t="shared" ca="1" si="8"/>
        <v>780</v>
      </c>
    </row>
    <row r="282" spans="1:6" ht="15.75" x14ac:dyDescent="0.25">
      <c r="A282" s="29" t="s">
        <v>125</v>
      </c>
      <c r="B282" s="30" t="str">
        <f ca="1">IFERROR(INDEX(UNSPSCDes,MATCH(INDIRECT(ADDRESS(ROW(),COLUMN()-1,4)),UNSPSCCode,0)),IF(INDIRECT(ADDRESS(ROW(),COLUMN()-1,4))="50202306","Refrescos",""))</f>
        <v>Refrescos</v>
      </c>
      <c r="C282" s="31" t="str">
        <f>IFERROR(VLOOKUP("UD",'[1]Informacion '!P:Q,2,FALSE),"")</f>
        <v>Unidad</v>
      </c>
      <c r="D282" s="29">
        <v>25</v>
      </c>
      <c r="E282" s="32">
        <v>84.5</v>
      </c>
      <c r="F282" s="33">
        <f t="shared" ca="1" si="8"/>
        <v>2112.5</v>
      </c>
    </row>
    <row r="283" spans="1:6" ht="15.75" x14ac:dyDescent="0.25">
      <c r="A283" s="29" t="s">
        <v>102</v>
      </c>
      <c r="B283" s="30" t="str">
        <f ca="1">IFERROR(INDEX(UNSPSCDes,MATCH(INDIRECT(ADDRESS(ROW(),COLUMN()-1,4)),UNSPSCCode,0)),IF(INDIRECT(ADDRESS(ROW(),COLUMN()-1,4))="50202301","Agua",""))</f>
        <v>Agua</v>
      </c>
      <c r="C283" s="31" t="str">
        <f>IFERROR(VLOOKUP("PAQ",'[1]Informacion '!P:Q,2,FALSE),"")</f>
        <v>Paquete</v>
      </c>
      <c r="D283" s="29">
        <v>5</v>
      </c>
      <c r="E283" s="32">
        <v>210</v>
      </c>
      <c r="F283" s="33">
        <f t="shared" ca="1" si="8"/>
        <v>1050</v>
      </c>
    </row>
    <row r="284" spans="1:6" ht="31.5" x14ac:dyDescent="0.25">
      <c r="A284" s="29" t="s">
        <v>97</v>
      </c>
      <c r="B284" s="30" t="str">
        <f ca="1">IFERROR(INDEX(UNSPSCDes,MATCH(INDIRECT(ADDRESS(ROW(),COLUMN()-1,4)),UNSPSCCode,0)),IF(INDIRECT(ADDRESS(ROW(),COLUMN()-1,4))="50161509","Azucares naturales o productos endulzantes",""))</f>
        <v>Azucares naturales o productos endulzantes</v>
      </c>
      <c r="C284" s="31" t="str">
        <f>IFERROR(VLOOKUP("CAJ",'[1]Informacion '!P:Q,2,FALSE),"")</f>
        <v>Caja</v>
      </c>
      <c r="D284" s="29">
        <v>1</v>
      </c>
      <c r="E284" s="32">
        <v>585</v>
      </c>
      <c r="F284" s="33">
        <f t="shared" ca="1" si="8"/>
        <v>585</v>
      </c>
    </row>
    <row r="285" spans="1:6" ht="15.75" x14ac:dyDescent="0.25">
      <c r="A285" s="19"/>
      <c r="B285" s="19"/>
      <c r="C285" s="19"/>
      <c r="D285" s="19"/>
      <c r="E285" s="34" t="s">
        <v>46</v>
      </c>
      <c r="F285" s="35">
        <f ca="1">SUM(Table19[MONTO TOTAL ESTIMADO])</f>
        <v>67522.5</v>
      </c>
    </row>
    <row r="286" spans="1:6" ht="16.5" thickBot="1" x14ac:dyDescent="0.3">
      <c r="A286" s="19"/>
      <c r="B286" s="19"/>
      <c r="C286" s="19"/>
      <c r="D286" s="19"/>
      <c r="E286" s="19"/>
      <c r="F286" s="19"/>
    </row>
    <row r="287" spans="1:6" ht="32.25" thickBot="1" x14ac:dyDescent="0.3">
      <c r="A287" s="20" t="s">
        <v>18</v>
      </c>
      <c r="B287" s="20" t="s">
        <v>19</v>
      </c>
      <c r="C287" s="20" t="s">
        <v>20</v>
      </c>
      <c r="D287" s="20" t="s">
        <v>21</v>
      </c>
      <c r="E287" s="20" t="s">
        <v>22</v>
      </c>
      <c r="F287" s="20" t="s">
        <v>23</v>
      </c>
    </row>
    <row r="288" spans="1:6" ht="16.5" thickBot="1" x14ac:dyDescent="0.3">
      <c r="A288" s="21" t="s">
        <v>126</v>
      </c>
      <c r="B288" s="21" t="s">
        <v>25</v>
      </c>
      <c r="C288" s="21" t="s">
        <v>26</v>
      </c>
      <c r="D288" s="21" t="s">
        <v>27</v>
      </c>
      <c r="E288" s="21" t="s">
        <v>107</v>
      </c>
      <c r="F288" s="21" t="s">
        <v>17</v>
      </c>
    </row>
    <row r="289" spans="1:6" ht="16.5" thickBot="1" x14ac:dyDescent="0.3">
      <c r="A289" s="47" t="s">
        <v>29</v>
      </c>
      <c r="B289" s="22" t="s">
        <v>30</v>
      </c>
      <c r="C289" s="23">
        <v>45048</v>
      </c>
      <c r="D289" s="47" t="s">
        <v>31</v>
      </c>
      <c r="E289" s="24" t="s">
        <v>32</v>
      </c>
      <c r="F289" s="25"/>
    </row>
    <row r="290" spans="1:6" ht="16.5" thickBot="1" x14ac:dyDescent="0.3">
      <c r="A290" s="48"/>
      <c r="B290" s="22" t="s">
        <v>33</v>
      </c>
      <c r="C290" s="27">
        <f>IF(C289="","",IF(AND(MONTH(C289)&gt;=1,MONTH(C289)&lt;=3),1,IF(AND(MONTH(C289)&gt;=4,MONTH(C289)&lt;=6),2,IF(AND(MONTH(C289)&gt;=7,MONTH(C289)&lt;=9),3,4))))</f>
        <v>2</v>
      </c>
      <c r="D290" s="48"/>
      <c r="E290" s="24" t="s">
        <v>34</v>
      </c>
      <c r="F290" s="25"/>
    </row>
    <row r="291" spans="1:6" ht="16.5" thickBot="1" x14ac:dyDescent="0.3">
      <c r="A291" s="48"/>
      <c r="B291" s="22" t="s">
        <v>35</v>
      </c>
      <c r="C291" s="23">
        <v>45049</v>
      </c>
      <c r="D291" s="48"/>
      <c r="E291" s="24" t="s">
        <v>36</v>
      </c>
      <c r="F291" s="25"/>
    </row>
    <row r="292" spans="1:6" ht="16.5" thickBot="1" x14ac:dyDescent="0.3">
      <c r="A292" s="48"/>
      <c r="B292" s="22" t="s">
        <v>33</v>
      </c>
      <c r="C292" s="27">
        <f>IF(C291="","",IF(AND(MONTH(C291)&gt;=1,MONTH(C291)&lt;=3),1,IF(AND(MONTH(C291)&gt;=4,MONTH(C291)&lt;=6),2,IF(AND(MONTH(C291)&gt;=7,MONTH(C291)&lt;=9),3,4))))</f>
        <v>2</v>
      </c>
      <c r="D292" s="48"/>
      <c r="E292" s="24" t="s">
        <v>37</v>
      </c>
      <c r="F292" s="25"/>
    </row>
    <row r="293" spans="1:6" ht="16.5" thickBot="1" x14ac:dyDescent="0.3">
      <c r="A293" s="19"/>
      <c r="B293" s="19"/>
      <c r="C293" s="19"/>
      <c r="D293" s="19"/>
      <c r="E293" s="19"/>
      <c r="F293" s="19"/>
    </row>
    <row r="294" spans="1:6" ht="16.5" thickBot="1" x14ac:dyDescent="0.3">
      <c r="A294" s="28" t="s">
        <v>38</v>
      </c>
      <c r="B294" s="28" t="s">
        <v>39</v>
      </c>
      <c r="C294" s="28" t="s">
        <v>40</v>
      </c>
      <c r="D294" s="28" t="s">
        <v>41</v>
      </c>
      <c r="E294" s="28" t="s">
        <v>42</v>
      </c>
      <c r="F294" s="28" t="s">
        <v>43</v>
      </c>
    </row>
    <row r="295" spans="1:6" ht="31.5" x14ac:dyDescent="0.25">
      <c r="A295" s="29" t="s">
        <v>127</v>
      </c>
      <c r="B295" s="30" t="str">
        <f ca="1">IFERROR(INDEX(UNSPSCDes,MATCH(INDIRECT(ADDRESS(ROW(),COLUMN()-1,4)),UNSPSCCode,0)),IF(INDIRECT(ADDRESS(ROW(),COLUMN()-1,4))="25172502","Neumático para llantas de automóviles",""))</f>
        <v>Neumático para llantas de automóviles</v>
      </c>
      <c r="C295" s="31" t="str">
        <f>IFERROR(VLOOKUP("UD",'[1]Informacion '!P:Q,2,FALSE),"")</f>
        <v>Unidad</v>
      </c>
      <c r="D295" s="29">
        <v>4</v>
      </c>
      <c r="E295" s="32">
        <v>9150</v>
      </c>
      <c r="F295" s="33">
        <f ca="1">INDIRECT(ADDRESS(ROW(),COLUMN()-2,4))*INDIRECT(ADDRESS(ROW(),COLUMN()-1,4))</f>
        <v>36600</v>
      </c>
    </row>
    <row r="296" spans="1:6" ht="15.75" x14ac:dyDescent="0.25">
      <c r="A296" s="19"/>
      <c r="B296" s="19"/>
      <c r="C296" s="19"/>
      <c r="D296" s="19"/>
      <c r="E296" s="34" t="s">
        <v>46</v>
      </c>
      <c r="F296" s="35">
        <f ca="1">SUM(Table20[MONTO TOTAL ESTIMADO])</f>
        <v>36600</v>
      </c>
    </row>
    <row r="297" spans="1:6" ht="16.5" thickBot="1" x14ac:dyDescent="0.3">
      <c r="A297" s="19"/>
      <c r="B297" s="19"/>
      <c r="C297" s="19"/>
      <c r="D297" s="19"/>
      <c r="E297" s="19"/>
      <c r="F297" s="19"/>
    </row>
    <row r="298" spans="1:6" ht="32.25" thickBot="1" x14ac:dyDescent="0.3">
      <c r="A298" s="20" t="s">
        <v>18</v>
      </c>
      <c r="B298" s="20" t="s">
        <v>19</v>
      </c>
      <c r="C298" s="20" t="s">
        <v>20</v>
      </c>
      <c r="D298" s="20" t="s">
        <v>21</v>
      </c>
      <c r="E298" s="20" t="s">
        <v>22</v>
      </c>
      <c r="F298" s="20" t="s">
        <v>23</v>
      </c>
    </row>
    <row r="299" spans="1:6" ht="16.5" thickBot="1" x14ac:dyDescent="0.3">
      <c r="A299" s="21" t="s">
        <v>128</v>
      </c>
      <c r="B299" s="21" t="s">
        <v>129</v>
      </c>
      <c r="C299" s="21" t="s">
        <v>26</v>
      </c>
      <c r="D299" s="21" t="s">
        <v>57</v>
      </c>
      <c r="E299" s="21" t="s">
        <v>107</v>
      </c>
      <c r="F299" s="21"/>
    </row>
    <row r="300" spans="1:6" ht="16.5" thickBot="1" x14ac:dyDescent="0.3">
      <c r="A300" s="47" t="s">
        <v>29</v>
      </c>
      <c r="B300" s="22" t="s">
        <v>30</v>
      </c>
      <c r="C300" s="36">
        <v>44959</v>
      </c>
      <c r="D300" s="47" t="s">
        <v>31</v>
      </c>
      <c r="E300" s="22" t="s">
        <v>32</v>
      </c>
      <c r="F300" s="21"/>
    </row>
    <row r="301" spans="1:6" ht="16.5" thickBot="1" x14ac:dyDescent="0.3">
      <c r="A301" s="48"/>
      <c r="B301" s="22" t="s">
        <v>33</v>
      </c>
      <c r="C301" s="26">
        <f>IF(C300="","",IF(AND(MONTH(C300)&gt;=1,MONTH(C300)&lt;=3),1,IF(AND(MONTH(C300)&gt;=4,MONTH(C300)&lt;=6),2,IF(AND(MONTH(C300)&gt;=7,MONTH(C300)&lt;=9),3,4))))</f>
        <v>1</v>
      </c>
      <c r="D301" s="48"/>
      <c r="E301" s="22" t="s">
        <v>34</v>
      </c>
      <c r="F301" s="21"/>
    </row>
    <row r="302" spans="1:6" ht="16.5" thickBot="1" x14ac:dyDescent="0.3">
      <c r="A302" s="48"/>
      <c r="B302" s="22" t="s">
        <v>35</v>
      </c>
      <c r="C302" s="36">
        <v>44964</v>
      </c>
      <c r="D302" s="48"/>
      <c r="E302" s="22" t="s">
        <v>36</v>
      </c>
      <c r="F302" s="21"/>
    </row>
    <row r="303" spans="1:6" ht="16.5" thickBot="1" x14ac:dyDescent="0.3">
      <c r="A303" s="48"/>
      <c r="B303" s="22" t="s">
        <v>33</v>
      </c>
      <c r="C303" s="26">
        <f>IF(C302="","",IF(AND(MONTH(C302)&gt;=1,MONTH(C302)&lt;=3),1,IF(AND(MONTH(C302)&gt;=4,MONTH(C302)&lt;=6),2,IF(AND(MONTH(C302)&gt;=7,MONTH(C302)&lt;=9),3,4))))</f>
        <v>1</v>
      </c>
      <c r="D303" s="48"/>
      <c r="E303" s="22" t="s">
        <v>37</v>
      </c>
      <c r="F303" s="21"/>
    </row>
    <row r="304" spans="1:6" ht="16.5" thickBot="1" x14ac:dyDescent="0.3">
      <c r="A304" s="37"/>
      <c r="B304" s="37"/>
      <c r="C304" s="37"/>
      <c r="D304" s="37"/>
      <c r="E304" s="37"/>
      <c r="F304" s="37"/>
    </row>
    <row r="305" spans="1:6" ht="16.5" thickBot="1" x14ac:dyDescent="0.3">
      <c r="A305" s="28" t="s">
        <v>38</v>
      </c>
      <c r="B305" s="28" t="s">
        <v>39</v>
      </c>
      <c r="C305" s="28" t="s">
        <v>40</v>
      </c>
      <c r="D305" s="28" t="s">
        <v>41</v>
      </c>
      <c r="E305" s="28" t="s">
        <v>42</v>
      </c>
      <c r="F305" s="28" t="s">
        <v>43</v>
      </c>
    </row>
    <row r="306" spans="1:6" ht="15.75" x14ac:dyDescent="0.25">
      <c r="A306" s="29">
        <v>15101506</v>
      </c>
      <c r="B306" s="30" t="str">
        <f ca="1">IFERROR(INDEX(UNSPSCDes,MATCH(INDIRECT(ADDRESS(ROW(),COLUMN()-1,4)),UNSPSCCode,0)),"")</f>
        <v>Gasolina</v>
      </c>
      <c r="C306" s="29" t="s">
        <v>72</v>
      </c>
      <c r="D306" s="29">
        <v>492</v>
      </c>
      <c r="E306" s="32">
        <v>1000</v>
      </c>
      <c r="F306" s="33">
        <f ca="1">INDIRECT(ADDRESS(ROW(),COLUMN()-2,4))*INDIRECT(ADDRESS(ROW(),COLUMN()-1,4))</f>
        <v>492000</v>
      </c>
    </row>
    <row r="307" spans="1:6" ht="15.75" x14ac:dyDescent="0.25">
      <c r="A307" s="29">
        <v>15101506</v>
      </c>
      <c r="B307" s="30" t="str">
        <f ca="1">IFERROR(INDEX(UNSPSCDes,MATCH(INDIRECT(ADDRESS(ROW(),COLUMN()-1,4)),UNSPSCCode,0)),"")</f>
        <v>Gasolina</v>
      </c>
      <c r="C307" s="29" t="s">
        <v>72</v>
      </c>
      <c r="D307" s="29">
        <v>216</v>
      </c>
      <c r="E307" s="32">
        <v>500</v>
      </c>
      <c r="F307" s="33">
        <f ca="1">INDIRECT(ADDRESS(ROW(),COLUMN()-2,4))*INDIRECT(ADDRESS(ROW(),COLUMN()-1,4))</f>
        <v>108000</v>
      </c>
    </row>
    <row r="308" spans="1:6" ht="15.75" x14ac:dyDescent="0.25">
      <c r="A308" s="29">
        <v>15101506</v>
      </c>
      <c r="B308" s="30" t="str">
        <f ca="1">IFERROR(INDEX(UNSPSCDes,MATCH(INDIRECT(ADDRESS(ROW(),COLUMN()-1,4)),UNSPSCCode,0)),"")</f>
        <v>Gasolina</v>
      </c>
      <c r="C308" s="29" t="s">
        <v>72</v>
      </c>
      <c r="D308" s="29">
        <v>900</v>
      </c>
      <c r="E308" s="32">
        <v>200</v>
      </c>
      <c r="F308" s="33">
        <f ca="1">INDIRECT(ADDRESS(ROW(),COLUMN()-2,4))*INDIRECT(ADDRESS(ROW(),COLUMN()-1,4))</f>
        <v>180000</v>
      </c>
    </row>
    <row r="309" spans="1:6" ht="15.75" x14ac:dyDescent="0.25">
      <c r="A309" s="37"/>
      <c r="B309" s="37"/>
      <c r="C309" s="37"/>
      <c r="D309" s="37"/>
      <c r="E309" s="34" t="s">
        <v>46</v>
      </c>
      <c r="F309" s="35">
        <f ca="1">SUM(Table32[MONTO TOTAL ESTIMADO])</f>
        <v>780000</v>
      </c>
    </row>
    <row r="310" spans="1:6" ht="16.5" thickBot="1" x14ac:dyDescent="0.3">
      <c r="A310" s="19"/>
      <c r="B310" s="19"/>
      <c r="C310" s="19"/>
      <c r="D310" s="19"/>
      <c r="E310" s="19"/>
      <c r="F310" s="19"/>
    </row>
    <row r="311" spans="1:6" ht="32.25" thickBot="1" x14ac:dyDescent="0.3">
      <c r="A311" s="20" t="s">
        <v>18</v>
      </c>
      <c r="B311" s="20" t="s">
        <v>19</v>
      </c>
      <c r="C311" s="20" t="s">
        <v>20</v>
      </c>
      <c r="D311" s="20" t="s">
        <v>21</v>
      </c>
      <c r="E311" s="20" t="s">
        <v>22</v>
      </c>
      <c r="F311" s="20" t="s">
        <v>23</v>
      </c>
    </row>
    <row r="312" spans="1:6" ht="16.5" thickBot="1" x14ac:dyDescent="0.3">
      <c r="A312" s="21" t="s">
        <v>104</v>
      </c>
      <c r="B312" s="21" t="s">
        <v>130</v>
      </c>
      <c r="C312" s="21" t="s">
        <v>26</v>
      </c>
      <c r="D312" s="21" t="s">
        <v>27</v>
      </c>
      <c r="E312" s="21" t="s">
        <v>107</v>
      </c>
      <c r="F312" s="21"/>
    </row>
    <row r="313" spans="1:6" ht="16.5" thickBot="1" x14ac:dyDescent="0.3">
      <c r="A313" s="47" t="s">
        <v>29</v>
      </c>
      <c r="B313" s="22" t="s">
        <v>30</v>
      </c>
      <c r="C313" s="36">
        <v>45110</v>
      </c>
      <c r="D313" s="47" t="s">
        <v>31</v>
      </c>
      <c r="E313" s="22" t="s">
        <v>32</v>
      </c>
      <c r="F313" s="21"/>
    </row>
    <row r="314" spans="1:6" ht="16.5" thickBot="1" x14ac:dyDescent="0.3">
      <c r="A314" s="48"/>
      <c r="B314" s="22" t="s">
        <v>33</v>
      </c>
      <c r="C314" s="26">
        <f>IF(C313="","",IF(AND(MONTH(C313)&gt;=1,MONTH(C313)&lt;=3),1,IF(AND(MONTH(C313)&gt;=4,MONTH(C313)&lt;=6),2,IF(AND(MONTH(C313)&gt;=7,MONTH(C313)&lt;=9),3,4))))</f>
        <v>3</v>
      </c>
      <c r="D314" s="48"/>
      <c r="E314" s="22" t="s">
        <v>34</v>
      </c>
      <c r="F314" s="21"/>
    </row>
    <row r="315" spans="1:6" ht="16.5" thickBot="1" x14ac:dyDescent="0.3">
      <c r="A315" s="48"/>
      <c r="B315" s="22" t="s">
        <v>35</v>
      </c>
      <c r="C315" s="36">
        <v>45111</v>
      </c>
      <c r="D315" s="48"/>
      <c r="E315" s="22" t="s">
        <v>36</v>
      </c>
      <c r="F315" s="21"/>
    </row>
    <row r="316" spans="1:6" ht="16.5" thickBot="1" x14ac:dyDescent="0.3">
      <c r="A316" s="48"/>
      <c r="B316" s="22" t="s">
        <v>33</v>
      </c>
      <c r="C316" s="26">
        <f>IF(C315="","",IF(AND(MONTH(C315)&gt;=1,MONTH(C315)&lt;=3),1,IF(AND(MONTH(C315)&gt;=4,MONTH(C315)&lt;=6),2,IF(AND(MONTH(C315)&gt;=7,MONTH(C315)&lt;=9),3,4))))</f>
        <v>3</v>
      </c>
      <c r="D316" s="48"/>
      <c r="E316" s="22" t="s">
        <v>37</v>
      </c>
      <c r="F316" s="21"/>
    </row>
    <row r="317" spans="1:6" ht="16.5" thickBot="1" x14ac:dyDescent="0.3">
      <c r="A317" s="37"/>
      <c r="B317" s="37"/>
      <c r="C317" s="37"/>
      <c r="D317" s="37"/>
      <c r="E317" s="37"/>
      <c r="F317" s="37"/>
    </row>
    <row r="318" spans="1:6" ht="16.5" thickBot="1" x14ac:dyDescent="0.3">
      <c r="A318" s="28" t="s">
        <v>38</v>
      </c>
      <c r="B318" s="28" t="s">
        <v>39</v>
      </c>
      <c r="C318" s="28" t="s">
        <v>40</v>
      </c>
      <c r="D318" s="28" t="s">
        <v>41</v>
      </c>
      <c r="E318" s="28" t="s">
        <v>42</v>
      </c>
      <c r="F318" s="28" t="s">
        <v>43</v>
      </c>
    </row>
    <row r="319" spans="1:6" ht="15.75" x14ac:dyDescent="0.25">
      <c r="A319" s="29">
        <v>78111502</v>
      </c>
      <c r="B319" s="30" t="str">
        <f ca="1">IFERROR(INDEX(UNSPSCDes,MATCH(INDIRECT(ADDRESS(ROW(),COLUMN()-1,4)),UNSPSCCode,0)),"")</f>
        <v>Viajes en aviones comerciales</v>
      </c>
      <c r="C319" s="29" t="s">
        <v>72</v>
      </c>
      <c r="D319" s="29">
        <v>1</v>
      </c>
      <c r="E319" s="32">
        <v>100000</v>
      </c>
      <c r="F319" s="33">
        <f ca="1">INDIRECT(ADDRESS(ROW(),COLUMN()-2,4))*INDIRECT(ADDRESS(ROW(),COLUMN()-1,4))</f>
        <v>100000</v>
      </c>
    </row>
    <row r="320" spans="1:6" ht="15.75" x14ac:dyDescent="0.25">
      <c r="A320" s="37"/>
      <c r="B320" s="37"/>
      <c r="C320" s="37"/>
      <c r="D320" s="37"/>
      <c r="E320" s="34" t="s">
        <v>46</v>
      </c>
      <c r="F320" s="35">
        <f ca="1">SUM(Table33[MONTO TOTAL ESTIMADO])</f>
        <v>100000</v>
      </c>
    </row>
    <row r="321" spans="1:6" ht="16.5" thickBot="1" x14ac:dyDescent="0.3">
      <c r="A321" s="19"/>
      <c r="B321" s="19"/>
      <c r="C321" s="19"/>
      <c r="D321" s="19"/>
      <c r="E321" s="19"/>
      <c r="F321" s="19"/>
    </row>
    <row r="322" spans="1:6" ht="32.25" thickBot="1" x14ac:dyDescent="0.3">
      <c r="A322" s="20" t="s">
        <v>18</v>
      </c>
      <c r="B322" s="20" t="s">
        <v>19</v>
      </c>
      <c r="C322" s="20" t="s">
        <v>20</v>
      </c>
      <c r="D322" s="20" t="s">
        <v>21</v>
      </c>
      <c r="E322" s="20" t="s">
        <v>22</v>
      </c>
      <c r="F322" s="20" t="s">
        <v>23</v>
      </c>
    </row>
    <row r="323" spans="1:6" ht="16.5" thickBot="1" x14ac:dyDescent="0.3">
      <c r="A323" s="21" t="s">
        <v>131</v>
      </c>
      <c r="B323" s="21" t="s">
        <v>132</v>
      </c>
      <c r="C323" s="21" t="s">
        <v>106</v>
      </c>
      <c r="D323" s="21" t="s">
        <v>27</v>
      </c>
      <c r="E323" s="21" t="s">
        <v>107</v>
      </c>
      <c r="F323" s="21"/>
    </row>
    <row r="324" spans="1:6" ht="16.5" thickBot="1" x14ac:dyDescent="0.3">
      <c r="A324" s="47" t="s">
        <v>29</v>
      </c>
      <c r="B324" s="22" t="s">
        <v>30</v>
      </c>
      <c r="C324" s="36">
        <v>45083</v>
      </c>
      <c r="D324" s="47" t="s">
        <v>31</v>
      </c>
      <c r="E324" s="22" t="s">
        <v>32</v>
      </c>
      <c r="F324" s="21"/>
    </row>
    <row r="325" spans="1:6" ht="16.5" thickBot="1" x14ac:dyDescent="0.3">
      <c r="A325" s="48"/>
      <c r="B325" s="22" t="s">
        <v>33</v>
      </c>
      <c r="C325" s="26">
        <f>IF(C324="","",IF(AND(MONTH(C324)&gt;=1,MONTH(C324)&lt;=3),1,IF(AND(MONTH(C324)&gt;=4,MONTH(C324)&lt;=6),2,IF(AND(MONTH(C324)&gt;=7,MONTH(C324)&lt;=9),3,4))))</f>
        <v>2</v>
      </c>
      <c r="D325" s="48"/>
      <c r="E325" s="22" t="s">
        <v>34</v>
      </c>
      <c r="F325" s="21"/>
    </row>
    <row r="326" spans="1:6" ht="16.5" thickBot="1" x14ac:dyDescent="0.3">
      <c r="A326" s="48"/>
      <c r="B326" s="22" t="s">
        <v>35</v>
      </c>
      <c r="C326" s="36">
        <v>45083</v>
      </c>
      <c r="D326" s="48"/>
      <c r="E326" s="22" t="s">
        <v>36</v>
      </c>
      <c r="F326" s="21"/>
    </row>
    <row r="327" spans="1:6" ht="16.5" thickBot="1" x14ac:dyDescent="0.3">
      <c r="A327" s="48"/>
      <c r="B327" s="22" t="s">
        <v>33</v>
      </c>
      <c r="C327" s="26">
        <f>IF(C326="","",IF(AND(MONTH(C326)&gt;=1,MONTH(C326)&lt;=3),1,IF(AND(MONTH(C326)&gt;=4,MONTH(C326)&lt;=6),2,IF(AND(MONTH(C326)&gt;=7,MONTH(C326)&lt;=9),3,4))))</f>
        <v>2</v>
      </c>
      <c r="D327" s="48"/>
      <c r="E327" s="22" t="s">
        <v>37</v>
      </c>
      <c r="F327" s="21"/>
    </row>
    <row r="328" spans="1:6" ht="16.5" thickBot="1" x14ac:dyDescent="0.3">
      <c r="A328" s="37"/>
      <c r="B328" s="37"/>
      <c r="C328" s="37"/>
      <c r="D328" s="37"/>
      <c r="E328" s="37"/>
      <c r="F328" s="37"/>
    </row>
    <row r="329" spans="1:6" ht="16.5" thickBot="1" x14ac:dyDescent="0.3">
      <c r="A329" s="28" t="s">
        <v>38</v>
      </c>
      <c r="B329" s="28" t="s">
        <v>39</v>
      </c>
      <c r="C329" s="28" t="s">
        <v>40</v>
      </c>
      <c r="D329" s="28" t="s">
        <v>41</v>
      </c>
      <c r="E329" s="28" t="s">
        <v>42</v>
      </c>
      <c r="F329" s="28" t="s">
        <v>43</v>
      </c>
    </row>
    <row r="330" spans="1:6" ht="15.75" x14ac:dyDescent="0.25">
      <c r="A330" s="29">
        <v>76111801</v>
      </c>
      <c r="B330" s="30" t="str">
        <f ca="1">IFERROR(INDEX(UNSPSCDes,MATCH(INDIRECT(ADDRESS(ROW(),COLUMN()-1,4)),UNSPSCCode,0)),"")</f>
        <v>Limpieza de carros o barcos</v>
      </c>
      <c r="C330" s="29" t="s">
        <v>72</v>
      </c>
      <c r="D330" s="29">
        <v>250</v>
      </c>
      <c r="E330" s="32">
        <v>540</v>
      </c>
      <c r="F330" s="33">
        <f ca="1">INDIRECT(ADDRESS(ROW(),COLUMN()-2,4))*INDIRECT(ADDRESS(ROW(),COLUMN()-1,4))</f>
        <v>135000</v>
      </c>
    </row>
    <row r="331" spans="1:6" ht="15.75" x14ac:dyDescent="0.25">
      <c r="A331" s="37"/>
      <c r="B331" s="37"/>
      <c r="C331" s="37"/>
      <c r="D331" s="37"/>
      <c r="E331" s="34" t="s">
        <v>46</v>
      </c>
      <c r="F331" s="35">
        <f ca="1">SUM(Table312[MONTO TOTAL ESTIMADO])</f>
        <v>135000</v>
      </c>
    </row>
    <row r="332" spans="1:6" ht="16.5" thickBot="1" x14ac:dyDescent="0.3">
      <c r="A332" s="19"/>
      <c r="B332" s="19"/>
      <c r="C332" s="19"/>
      <c r="D332" s="19"/>
      <c r="E332" s="19"/>
      <c r="F332" s="19"/>
    </row>
    <row r="333" spans="1:6" ht="32.25" thickBot="1" x14ac:dyDescent="0.3">
      <c r="A333" s="20" t="s">
        <v>18</v>
      </c>
      <c r="B333" s="20" t="s">
        <v>19</v>
      </c>
      <c r="C333" s="20" t="s">
        <v>20</v>
      </c>
      <c r="D333" s="20" t="s">
        <v>21</v>
      </c>
      <c r="E333" s="20" t="s">
        <v>22</v>
      </c>
      <c r="F333" s="20" t="s">
        <v>23</v>
      </c>
    </row>
    <row r="334" spans="1:6" ht="16.5" thickBot="1" x14ac:dyDescent="0.3">
      <c r="A334" s="21" t="s">
        <v>133</v>
      </c>
      <c r="B334" s="21" t="s">
        <v>134</v>
      </c>
      <c r="C334" s="21" t="s">
        <v>26</v>
      </c>
      <c r="D334" s="21" t="s">
        <v>57</v>
      </c>
      <c r="E334" s="21" t="s">
        <v>28</v>
      </c>
      <c r="F334" s="21"/>
    </row>
    <row r="335" spans="1:6" ht="16.5" thickBot="1" x14ac:dyDescent="0.3">
      <c r="A335" s="47" t="s">
        <v>29</v>
      </c>
      <c r="B335" s="22" t="s">
        <v>30</v>
      </c>
      <c r="C335" s="36">
        <v>45110</v>
      </c>
      <c r="D335" s="47" t="s">
        <v>31</v>
      </c>
      <c r="E335" s="22" t="s">
        <v>32</v>
      </c>
      <c r="F335" s="21"/>
    </row>
    <row r="336" spans="1:6" ht="16.5" thickBot="1" x14ac:dyDescent="0.3">
      <c r="A336" s="48"/>
      <c r="B336" s="22" t="s">
        <v>33</v>
      </c>
      <c r="C336" s="26">
        <f>IF(C335="","",IF(AND(MONTH(C335)&gt;=1,MONTH(C335)&lt;=3),1,IF(AND(MONTH(C335)&gt;=4,MONTH(C335)&lt;=6),2,IF(AND(MONTH(C335)&gt;=7,MONTH(C335)&lt;=9),3,4))))</f>
        <v>3</v>
      </c>
      <c r="D336" s="48"/>
      <c r="E336" s="22" t="s">
        <v>34</v>
      </c>
      <c r="F336" s="21"/>
    </row>
    <row r="337" spans="1:6" ht="16.5" thickBot="1" x14ac:dyDescent="0.3">
      <c r="A337" s="48"/>
      <c r="B337" s="22" t="s">
        <v>35</v>
      </c>
      <c r="C337" s="36">
        <v>45112</v>
      </c>
      <c r="D337" s="48"/>
      <c r="E337" s="22" t="s">
        <v>36</v>
      </c>
      <c r="F337" s="21"/>
    </row>
    <row r="338" spans="1:6" ht="50.25" customHeight="1" thickBot="1" x14ac:dyDescent="0.3">
      <c r="A338" s="48"/>
      <c r="B338" s="22" t="s">
        <v>33</v>
      </c>
      <c r="C338" s="26">
        <f>IF(C337="","",IF(AND(MONTH(C337)&gt;=1,MONTH(C337)&lt;=3),1,IF(AND(MONTH(C337)&gt;=4,MONTH(C337)&lt;=6),2,IF(AND(MONTH(C337)&gt;=7,MONTH(C337)&lt;=9),3,4))))</f>
        <v>3</v>
      </c>
      <c r="D338" s="48"/>
      <c r="E338" s="22" t="s">
        <v>37</v>
      </c>
      <c r="F338" s="21"/>
    </row>
    <row r="339" spans="1:6" ht="16.5" thickBot="1" x14ac:dyDescent="0.3">
      <c r="A339" s="37"/>
      <c r="B339" s="37"/>
      <c r="C339" s="37"/>
      <c r="D339" s="37"/>
      <c r="E339" s="37"/>
      <c r="F339" s="37"/>
    </row>
    <row r="340" spans="1:6" ht="16.5" thickBot="1" x14ac:dyDescent="0.3">
      <c r="A340" s="28" t="s">
        <v>38</v>
      </c>
      <c r="B340" s="28" t="s">
        <v>39</v>
      </c>
      <c r="C340" s="28" t="s">
        <v>40</v>
      </c>
      <c r="D340" s="28" t="s">
        <v>41</v>
      </c>
      <c r="E340" s="28" t="s">
        <v>42</v>
      </c>
      <c r="F340" s="28" t="s">
        <v>43</v>
      </c>
    </row>
    <row r="341" spans="1:6" ht="15.75" x14ac:dyDescent="0.25">
      <c r="A341" s="29">
        <v>15101506</v>
      </c>
      <c r="B341" s="30" t="str">
        <f ca="1">IFERROR(INDEX(UNSPSCDes,MATCH(INDIRECT(ADDRESS(ROW(),COLUMN()-1,4)),UNSPSCCode,0)),"")</f>
        <v>Gasolina</v>
      </c>
      <c r="C341" s="29" t="s">
        <v>72</v>
      </c>
      <c r="D341" s="29">
        <v>492</v>
      </c>
      <c r="E341" s="32">
        <v>1000</v>
      </c>
      <c r="F341" s="33">
        <f ca="1">INDIRECT(ADDRESS(ROW(),COLUMN()-2,4))*INDIRECT(ADDRESS(ROW(),COLUMN()-1,4))</f>
        <v>492000</v>
      </c>
    </row>
    <row r="342" spans="1:6" ht="15.75" x14ac:dyDescent="0.25">
      <c r="A342" s="29">
        <v>15101506</v>
      </c>
      <c r="B342" s="30" t="str">
        <f ca="1">IFERROR(INDEX(UNSPSCDes,MATCH(INDIRECT(ADDRESS(ROW(),COLUMN()-1,4)),UNSPSCCode,0)),"")</f>
        <v>Gasolina</v>
      </c>
      <c r="C342" s="29" t="s">
        <v>72</v>
      </c>
      <c r="D342" s="29">
        <v>216</v>
      </c>
      <c r="E342" s="32">
        <v>500</v>
      </c>
      <c r="F342" s="33">
        <f ca="1">INDIRECT(ADDRESS(ROW(),COLUMN()-2,4))*INDIRECT(ADDRESS(ROW(),COLUMN()-1,4))</f>
        <v>108000</v>
      </c>
    </row>
    <row r="343" spans="1:6" ht="15.75" x14ac:dyDescent="0.25">
      <c r="A343" s="29">
        <v>15101506</v>
      </c>
      <c r="B343" s="30" t="str">
        <f ca="1">IFERROR(INDEX(UNSPSCDes,MATCH(INDIRECT(ADDRESS(ROW(),COLUMN()-1,4)),UNSPSCCode,0)),"")</f>
        <v>Gasolina</v>
      </c>
      <c r="C343" s="29" t="s">
        <v>72</v>
      </c>
      <c r="D343" s="29">
        <v>900</v>
      </c>
      <c r="E343" s="32">
        <v>200</v>
      </c>
      <c r="F343" s="33">
        <f ca="1">INDIRECT(ADDRESS(ROW(),COLUMN()-2,4))*INDIRECT(ADDRESS(ROW(),COLUMN()-1,4))</f>
        <v>180000</v>
      </c>
    </row>
    <row r="344" spans="1:6" ht="15.75" x14ac:dyDescent="0.25">
      <c r="A344" s="37"/>
      <c r="B344" s="37"/>
      <c r="C344" s="37"/>
      <c r="D344" s="37"/>
      <c r="E344" s="34" t="s">
        <v>46</v>
      </c>
      <c r="F344" s="35">
        <f ca="1">SUM(Table314[MONTO TOTAL ESTIMADO])</f>
        <v>780000</v>
      </c>
    </row>
    <row r="345" spans="1:6" ht="16.5" thickBot="1" x14ac:dyDescent="0.3">
      <c r="A345" s="19"/>
      <c r="B345" s="19"/>
      <c r="C345" s="19"/>
      <c r="D345" s="19"/>
      <c r="E345" s="19"/>
      <c r="F345" s="19"/>
    </row>
    <row r="346" spans="1:6" ht="32.25" thickBot="1" x14ac:dyDescent="0.3">
      <c r="A346" s="20" t="s">
        <v>18</v>
      </c>
      <c r="B346" s="20" t="s">
        <v>19</v>
      </c>
      <c r="C346" s="20" t="s">
        <v>20</v>
      </c>
      <c r="D346" s="20" t="s">
        <v>21</v>
      </c>
      <c r="E346" s="20" t="s">
        <v>22</v>
      </c>
      <c r="F346" s="20" t="s">
        <v>23</v>
      </c>
    </row>
    <row r="347" spans="1:6" ht="16.5" thickBot="1" x14ac:dyDescent="0.3">
      <c r="A347" s="21" t="s">
        <v>135</v>
      </c>
      <c r="B347" s="21" t="s">
        <v>136</v>
      </c>
      <c r="C347" s="21" t="s">
        <v>26</v>
      </c>
      <c r="D347" s="21" t="s">
        <v>27</v>
      </c>
      <c r="E347" s="21" t="s">
        <v>28</v>
      </c>
      <c r="F347" s="21"/>
    </row>
    <row r="348" spans="1:6" ht="16.5" thickBot="1" x14ac:dyDescent="0.3">
      <c r="A348" s="47" t="s">
        <v>29</v>
      </c>
      <c r="B348" s="22" t="s">
        <v>30</v>
      </c>
      <c r="C348" s="36">
        <v>45109</v>
      </c>
      <c r="D348" s="47" t="s">
        <v>31</v>
      </c>
      <c r="E348" s="22" t="s">
        <v>32</v>
      </c>
      <c r="F348" s="21"/>
    </row>
    <row r="349" spans="1:6" ht="16.5" thickBot="1" x14ac:dyDescent="0.3">
      <c r="A349" s="48"/>
      <c r="B349" s="22" t="s">
        <v>33</v>
      </c>
      <c r="C349" s="26">
        <f>IF(C348="","",IF(AND(MONTH(C348)&gt;=1,MONTH(C348)&lt;=3),1,IF(AND(MONTH(C348)&gt;=4,MONTH(C348)&lt;=6),2,IF(AND(MONTH(C348)&gt;=7,MONTH(C348)&lt;=9),3,4))))</f>
        <v>3</v>
      </c>
      <c r="D349" s="48"/>
      <c r="E349" s="22" t="s">
        <v>34</v>
      </c>
      <c r="F349" s="21"/>
    </row>
    <row r="350" spans="1:6" ht="16.5" thickBot="1" x14ac:dyDescent="0.3">
      <c r="A350" s="48"/>
      <c r="B350" s="22" t="s">
        <v>35</v>
      </c>
      <c r="C350" s="36">
        <v>45110</v>
      </c>
      <c r="D350" s="48"/>
      <c r="E350" s="22" t="s">
        <v>36</v>
      </c>
      <c r="F350" s="21"/>
    </row>
    <row r="351" spans="1:6" ht="16.5" thickBot="1" x14ac:dyDescent="0.3">
      <c r="A351" s="48"/>
      <c r="B351" s="22" t="s">
        <v>33</v>
      </c>
      <c r="C351" s="26">
        <f>IF(C350="","",IF(AND(MONTH(C350)&gt;=1,MONTH(C350)&lt;=3),1,IF(AND(MONTH(C350)&gt;=4,MONTH(C350)&lt;=6),2,IF(AND(MONTH(C350)&gt;=7,MONTH(C350)&lt;=9),3,4))))</f>
        <v>3</v>
      </c>
      <c r="D351" s="48"/>
      <c r="E351" s="22" t="s">
        <v>37</v>
      </c>
      <c r="F351" s="21"/>
    </row>
    <row r="352" spans="1:6" ht="16.5" thickBot="1" x14ac:dyDescent="0.3">
      <c r="A352" s="37"/>
      <c r="B352" s="37"/>
      <c r="C352" s="37"/>
      <c r="D352" s="37"/>
      <c r="E352" s="37"/>
      <c r="F352" s="37"/>
    </row>
    <row r="353" spans="1:6" ht="16.5" thickBot="1" x14ac:dyDescent="0.3">
      <c r="A353" s="28" t="s">
        <v>38</v>
      </c>
      <c r="B353" s="28" t="s">
        <v>39</v>
      </c>
      <c r="C353" s="28" t="s">
        <v>40</v>
      </c>
      <c r="D353" s="28" t="s">
        <v>41</v>
      </c>
      <c r="E353" s="28" t="s">
        <v>42</v>
      </c>
      <c r="F353" s="28" t="s">
        <v>43</v>
      </c>
    </row>
    <row r="354" spans="1:6" ht="15.75" x14ac:dyDescent="0.25">
      <c r="A354" s="29">
        <v>40101701</v>
      </c>
      <c r="B354" s="30" t="str">
        <f ca="1">IFERROR(INDEX(UNSPSCDes,MATCH(INDIRECT(ADDRESS(ROW(),COLUMN()-1,4)),UNSPSCCode,0)),"")</f>
        <v>Aires acondicionados</v>
      </c>
      <c r="C354" s="29" t="s">
        <v>72</v>
      </c>
      <c r="D354" s="29">
        <v>1</v>
      </c>
      <c r="E354" s="32">
        <v>80000</v>
      </c>
      <c r="F354" s="33">
        <f ca="1">INDIRECT(ADDRESS(ROW(),COLUMN()-2,4))*INDIRECT(ADDRESS(ROW(),COLUMN()-1,4))</f>
        <v>80000</v>
      </c>
    </row>
    <row r="355" spans="1:6" ht="15.75" x14ac:dyDescent="0.25">
      <c r="A355" s="37"/>
      <c r="B355" s="37"/>
      <c r="C355" s="37"/>
      <c r="D355" s="37"/>
      <c r="E355" s="34" t="s">
        <v>46</v>
      </c>
      <c r="F355" s="35">
        <f ca="1">SUM(Table322[MONTO TOTAL ESTIMADO])</f>
        <v>80000</v>
      </c>
    </row>
    <row r="356" spans="1:6" ht="16.5" thickBot="1" x14ac:dyDescent="0.3">
      <c r="A356" s="19"/>
      <c r="B356" s="19"/>
      <c r="C356" s="19"/>
      <c r="D356" s="19"/>
      <c r="E356" s="19"/>
      <c r="F356" s="19"/>
    </row>
    <row r="357" spans="1:6" ht="32.25" thickBot="1" x14ac:dyDescent="0.3">
      <c r="A357" s="20" t="s">
        <v>18</v>
      </c>
      <c r="B357" s="20" t="s">
        <v>19</v>
      </c>
      <c r="C357" s="20" t="s">
        <v>20</v>
      </c>
      <c r="D357" s="20" t="s">
        <v>21</v>
      </c>
      <c r="E357" s="20" t="s">
        <v>22</v>
      </c>
      <c r="F357" s="20" t="s">
        <v>23</v>
      </c>
    </row>
    <row r="358" spans="1:6" ht="16.5" thickBot="1" x14ac:dyDescent="0.3">
      <c r="A358" s="21" t="s">
        <v>135</v>
      </c>
      <c r="B358" s="21" t="s">
        <v>136</v>
      </c>
      <c r="C358" s="21" t="s">
        <v>26</v>
      </c>
      <c r="D358" s="21" t="s">
        <v>27</v>
      </c>
      <c r="E358" s="21" t="s">
        <v>28</v>
      </c>
      <c r="F358" s="21"/>
    </row>
    <row r="359" spans="1:6" ht="16.5" thickBot="1" x14ac:dyDescent="0.3">
      <c r="A359" s="47" t="s">
        <v>29</v>
      </c>
      <c r="B359" s="22" t="s">
        <v>30</v>
      </c>
      <c r="C359" s="36">
        <v>45232</v>
      </c>
      <c r="D359" s="47" t="s">
        <v>31</v>
      </c>
      <c r="E359" s="22" t="s">
        <v>32</v>
      </c>
      <c r="F359" s="21"/>
    </row>
    <row r="360" spans="1:6" ht="16.5" thickBot="1" x14ac:dyDescent="0.3">
      <c r="A360" s="48"/>
      <c r="B360" s="22" t="s">
        <v>33</v>
      </c>
      <c r="C360" s="26">
        <f>IF(C359="","",IF(AND(MONTH(C359)&gt;=1,MONTH(C359)&lt;=3),1,IF(AND(MONTH(C359)&gt;=4,MONTH(C359)&lt;=6),2,IF(AND(MONTH(C359)&gt;=7,MONTH(C359)&lt;=9),3,4))))</f>
        <v>4</v>
      </c>
      <c r="D360" s="48"/>
      <c r="E360" s="22" t="s">
        <v>34</v>
      </c>
      <c r="F360" s="21"/>
    </row>
    <row r="361" spans="1:6" ht="16.5" thickBot="1" x14ac:dyDescent="0.3">
      <c r="A361" s="48"/>
      <c r="B361" s="22" t="s">
        <v>35</v>
      </c>
      <c r="C361" s="36">
        <v>45233</v>
      </c>
      <c r="D361" s="48"/>
      <c r="E361" s="22" t="s">
        <v>36</v>
      </c>
      <c r="F361" s="21"/>
    </row>
    <row r="362" spans="1:6" ht="16.5" thickBot="1" x14ac:dyDescent="0.3">
      <c r="A362" s="48"/>
      <c r="B362" s="22" t="s">
        <v>33</v>
      </c>
      <c r="C362" s="26">
        <f>IF(C361="","",IF(AND(MONTH(C361)&gt;=1,MONTH(C361)&lt;=3),1,IF(AND(MONTH(C361)&gt;=4,MONTH(C361)&lt;=6),2,IF(AND(MONTH(C361)&gt;=7,MONTH(C361)&lt;=9),3,4))))</f>
        <v>4</v>
      </c>
      <c r="D362" s="48"/>
      <c r="E362" s="22" t="s">
        <v>37</v>
      </c>
      <c r="F362" s="21"/>
    </row>
    <row r="363" spans="1:6" ht="16.5" thickBot="1" x14ac:dyDescent="0.3">
      <c r="A363" s="37"/>
      <c r="B363" s="37"/>
      <c r="C363" s="37"/>
      <c r="D363" s="37"/>
      <c r="E363" s="37"/>
      <c r="F363" s="37"/>
    </row>
    <row r="364" spans="1:6" ht="16.5" thickBot="1" x14ac:dyDescent="0.3">
      <c r="A364" s="28" t="s">
        <v>38</v>
      </c>
      <c r="B364" s="28" t="s">
        <v>39</v>
      </c>
      <c r="C364" s="28" t="s">
        <v>40</v>
      </c>
      <c r="D364" s="28" t="s">
        <v>41</v>
      </c>
      <c r="E364" s="28" t="s">
        <v>42</v>
      </c>
      <c r="F364" s="28" t="s">
        <v>43</v>
      </c>
    </row>
    <row r="365" spans="1:6" ht="15.75" x14ac:dyDescent="0.25">
      <c r="A365" s="29">
        <v>40101701</v>
      </c>
      <c r="B365" s="30" t="str">
        <f ca="1">IFERROR(INDEX(UNSPSCDes,MATCH(INDIRECT(ADDRESS(ROW(),COLUMN()-1,4)),UNSPSCCode,0)),"")</f>
        <v>Aires acondicionados</v>
      </c>
      <c r="C365" s="29" t="s">
        <v>72</v>
      </c>
      <c r="D365" s="29">
        <v>1</v>
      </c>
      <c r="E365" s="32">
        <v>80000</v>
      </c>
      <c r="F365" s="33">
        <f ca="1">INDIRECT(ADDRESS(ROW(),COLUMN()-2,4))*INDIRECT(ADDRESS(ROW(),COLUMN()-1,4))</f>
        <v>80000</v>
      </c>
    </row>
    <row r="366" spans="1:6" ht="15.75" x14ac:dyDescent="0.25">
      <c r="A366" s="37"/>
      <c r="B366" s="37"/>
      <c r="C366" s="37"/>
      <c r="D366" s="37"/>
      <c r="E366" s="34" t="s">
        <v>46</v>
      </c>
      <c r="F366" s="35">
        <f ca="1">SUM(Table323[MONTO TOTAL ESTIMADO])</f>
        <v>80000</v>
      </c>
    </row>
    <row r="367" spans="1:6" ht="16.5" thickBot="1" x14ac:dyDescent="0.3">
      <c r="A367" s="19"/>
      <c r="B367" s="19"/>
      <c r="C367" s="19"/>
      <c r="D367" s="19"/>
      <c r="E367" s="19"/>
      <c r="F367" s="19"/>
    </row>
    <row r="368" spans="1:6" ht="32.25" thickBot="1" x14ac:dyDescent="0.3">
      <c r="A368" s="20" t="s">
        <v>18</v>
      </c>
      <c r="B368" s="20" t="s">
        <v>19</v>
      </c>
      <c r="C368" s="20" t="s">
        <v>20</v>
      </c>
      <c r="D368" s="20" t="s">
        <v>21</v>
      </c>
      <c r="E368" s="20" t="s">
        <v>22</v>
      </c>
      <c r="F368" s="20" t="s">
        <v>23</v>
      </c>
    </row>
    <row r="369" spans="1:6" ht="16.5" thickBot="1" x14ac:dyDescent="0.3">
      <c r="A369" s="21" t="s">
        <v>137</v>
      </c>
      <c r="B369" s="21" t="s">
        <v>136</v>
      </c>
      <c r="C369" s="21" t="s">
        <v>26</v>
      </c>
      <c r="D369" s="21" t="s">
        <v>27</v>
      </c>
      <c r="E369" s="21" t="s">
        <v>107</v>
      </c>
      <c r="F369" s="21"/>
    </row>
    <row r="370" spans="1:6" ht="16.5" thickBot="1" x14ac:dyDescent="0.3">
      <c r="A370" s="47" t="s">
        <v>29</v>
      </c>
      <c r="B370" s="22" t="s">
        <v>30</v>
      </c>
      <c r="C370" s="36">
        <v>45109</v>
      </c>
      <c r="D370" s="47" t="s">
        <v>31</v>
      </c>
      <c r="E370" s="22" t="s">
        <v>32</v>
      </c>
      <c r="F370" s="21"/>
    </row>
    <row r="371" spans="1:6" ht="16.5" thickBot="1" x14ac:dyDescent="0.3">
      <c r="A371" s="48"/>
      <c r="B371" s="22" t="s">
        <v>33</v>
      </c>
      <c r="C371" s="26">
        <f>IF(C370="","",IF(AND(MONTH(C370)&gt;=1,MONTH(C370)&lt;=3),1,IF(AND(MONTH(C370)&gt;=4,MONTH(C370)&lt;=6),2,IF(AND(MONTH(C370)&gt;=7,MONTH(C370)&lt;=9),3,4))))</f>
        <v>3</v>
      </c>
      <c r="D371" s="48"/>
      <c r="E371" s="22" t="s">
        <v>34</v>
      </c>
      <c r="F371" s="21"/>
    </row>
    <row r="372" spans="1:6" ht="16.5" thickBot="1" x14ac:dyDescent="0.3">
      <c r="A372" s="48"/>
      <c r="B372" s="22" t="s">
        <v>35</v>
      </c>
      <c r="C372" s="36">
        <v>45110</v>
      </c>
      <c r="D372" s="48"/>
      <c r="E372" s="22" t="s">
        <v>36</v>
      </c>
      <c r="F372" s="21"/>
    </row>
    <row r="373" spans="1:6" ht="16.5" thickBot="1" x14ac:dyDescent="0.3">
      <c r="A373" s="48"/>
      <c r="B373" s="22" t="s">
        <v>33</v>
      </c>
      <c r="C373" s="26">
        <f>IF(C372="","",IF(AND(MONTH(C372)&gt;=1,MONTH(C372)&lt;=3),1,IF(AND(MONTH(C372)&gt;=4,MONTH(C372)&lt;=6),2,IF(AND(MONTH(C372)&gt;=7,MONTH(C372)&lt;=9),3,4))))</f>
        <v>3</v>
      </c>
      <c r="D373" s="48"/>
      <c r="E373" s="22" t="s">
        <v>37</v>
      </c>
      <c r="F373" s="21"/>
    </row>
    <row r="374" spans="1:6" ht="16.5" thickBot="1" x14ac:dyDescent="0.3">
      <c r="A374" s="37"/>
      <c r="B374" s="37"/>
      <c r="C374" s="37"/>
      <c r="D374" s="37"/>
      <c r="E374" s="37"/>
      <c r="F374" s="37"/>
    </row>
    <row r="375" spans="1:6" ht="16.5" thickBot="1" x14ac:dyDescent="0.3">
      <c r="A375" s="28" t="s">
        <v>38</v>
      </c>
      <c r="B375" s="28" t="s">
        <v>39</v>
      </c>
      <c r="C375" s="28" t="s">
        <v>40</v>
      </c>
      <c r="D375" s="28" t="s">
        <v>41</v>
      </c>
      <c r="E375" s="28" t="s">
        <v>42</v>
      </c>
      <c r="F375" s="28" t="s">
        <v>43</v>
      </c>
    </row>
    <row r="376" spans="1:6" ht="15.75" x14ac:dyDescent="0.25">
      <c r="A376" s="29">
        <v>23101502</v>
      </c>
      <c r="B376" s="30" t="str">
        <f ca="1">IFERROR(INDEX(UNSPSCDes,MATCH(INDIRECT(ADDRESS(ROW(),COLUMN()-1,4)),UNSPSCCode,0)),"")</f>
        <v>Taladros</v>
      </c>
      <c r="C376" s="29" t="s">
        <v>72</v>
      </c>
      <c r="D376" s="29">
        <v>1</v>
      </c>
      <c r="E376" s="32">
        <v>15000</v>
      </c>
      <c r="F376" s="33">
        <f ca="1">INDIRECT(ADDRESS(ROW(),COLUMN()-2,4))*INDIRECT(ADDRESS(ROW(),COLUMN()-1,4))</f>
        <v>15000</v>
      </c>
    </row>
    <row r="377" spans="1:6" ht="15.75" x14ac:dyDescent="0.25">
      <c r="A377" s="37"/>
      <c r="B377" s="37"/>
      <c r="C377" s="37"/>
      <c r="D377" s="37"/>
      <c r="E377" s="34" t="s">
        <v>46</v>
      </c>
      <c r="F377" s="35">
        <f ca="1">SUM(Table324[MONTO TOTAL ESTIMADO])</f>
        <v>15000</v>
      </c>
    </row>
    <row r="378" spans="1:6" ht="16.5" thickBot="1" x14ac:dyDescent="0.3">
      <c r="A378" s="19"/>
      <c r="B378" s="19"/>
      <c r="C378" s="19"/>
      <c r="D378" s="19"/>
      <c r="E378" s="19"/>
      <c r="F378" s="19"/>
    </row>
    <row r="379" spans="1:6" ht="32.25" thickBot="1" x14ac:dyDescent="0.3">
      <c r="A379" s="20" t="s">
        <v>18</v>
      </c>
      <c r="B379" s="20" t="s">
        <v>19</v>
      </c>
      <c r="C379" s="20" t="s">
        <v>20</v>
      </c>
      <c r="D379" s="20" t="s">
        <v>21</v>
      </c>
      <c r="E379" s="20" t="s">
        <v>22</v>
      </c>
      <c r="F379" s="20" t="s">
        <v>23</v>
      </c>
    </row>
    <row r="380" spans="1:6" ht="16.5" thickBot="1" x14ac:dyDescent="0.3">
      <c r="A380" s="21" t="s">
        <v>138</v>
      </c>
      <c r="B380" s="21" t="s">
        <v>136</v>
      </c>
      <c r="C380" s="21" t="s">
        <v>26</v>
      </c>
      <c r="D380" s="21" t="s">
        <v>27</v>
      </c>
      <c r="E380" s="21" t="s">
        <v>28</v>
      </c>
      <c r="F380" s="21"/>
    </row>
    <row r="381" spans="1:6" ht="16.5" thickBot="1" x14ac:dyDescent="0.3">
      <c r="A381" s="47" t="s">
        <v>29</v>
      </c>
      <c r="B381" s="22" t="s">
        <v>30</v>
      </c>
      <c r="C381" s="36">
        <v>45232</v>
      </c>
      <c r="D381" s="47" t="s">
        <v>31</v>
      </c>
      <c r="E381" s="22" t="s">
        <v>32</v>
      </c>
      <c r="F381" s="21"/>
    </row>
    <row r="382" spans="1:6" ht="16.5" thickBot="1" x14ac:dyDescent="0.3">
      <c r="A382" s="48"/>
      <c r="B382" s="22" t="s">
        <v>33</v>
      </c>
      <c r="C382" s="26">
        <f>IF(C381="","",IF(AND(MONTH(C381)&gt;=1,MONTH(C381)&lt;=3),1,IF(AND(MONTH(C381)&gt;=4,MONTH(C381)&lt;=6),2,IF(AND(MONTH(C381)&gt;=7,MONTH(C381)&lt;=9),3,4))))</f>
        <v>4</v>
      </c>
      <c r="D382" s="48"/>
      <c r="E382" s="22" t="s">
        <v>34</v>
      </c>
      <c r="F382" s="21"/>
    </row>
    <row r="383" spans="1:6" ht="16.5" thickBot="1" x14ac:dyDescent="0.3">
      <c r="A383" s="48"/>
      <c r="B383" s="22" t="s">
        <v>35</v>
      </c>
      <c r="C383" s="36">
        <v>45233</v>
      </c>
      <c r="D383" s="48"/>
      <c r="E383" s="22" t="s">
        <v>36</v>
      </c>
      <c r="F383" s="21"/>
    </row>
    <row r="384" spans="1:6" ht="16.5" thickBot="1" x14ac:dyDescent="0.3">
      <c r="A384" s="48"/>
      <c r="B384" s="22" t="s">
        <v>33</v>
      </c>
      <c r="C384" s="26">
        <f>IF(C383="","",IF(AND(MONTH(C383)&gt;=1,MONTH(C383)&lt;=3),1,IF(AND(MONTH(C383)&gt;=4,MONTH(C383)&lt;=6),2,IF(AND(MONTH(C383)&gt;=7,MONTH(C383)&lt;=9),3,4))))</f>
        <v>4</v>
      </c>
      <c r="D384" s="48"/>
      <c r="E384" s="22" t="s">
        <v>37</v>
      </c>
      <c r="F384" s="21"/>
    </row>
    <row r="385" spans="1:6" ht="16.5" thickBot="1" x14ac:dyDescent="0.3">
      <c r="A385" s="37"/>
      <c r="B385" s="37"/>
      <c r="C385" s="37"/>
      <c r="D385" s="37"/>
      <c r="E385" s="37"/>
      <c r="F385" s="37"/>
    </row>
    <row r="386" spans="1:6" ht="16.5" thickBot="1" x14ac:dyDescent="0.3">
      <c r="A386" s="28" t="s">
        <v>38</v>
      </c>
      <c r="B386" s="28" t="s">
        <v>39</v>
      </c>
      <c r="C386" s="28" t="s">
        <v>40</v>
      </c>
      <c r="D386" s="28" t="s">
        <v>41</v>
      </c>
      <c r="E386" s="28" t="s">
        <v>42</v>
      </c>
      <c r="F386" s="28" t="s">
        <v>43</v>
      </c>
    </row>
    <row r="387" spans="1:6" ht="31.5" x14ac:dyDescent="0.25">
      <c r="A387" s="29">
        <v>52161518</v>
      </c>
      <c r="B387" s="30" t="str">
        <f ca="1">IFERROR(INDEX(UNSPSCDes,MATCH(INDIRECT(ADDRESS(ROW(),COLUMN()-1,4)),UNSPSCCode,0)),"")</f>
        <v>Receptores de sistemas de posicionamiento global</v>
      </c>
      <c r="C387" s="29" t="s">
        <v>72</v>
      </c>
      <c r="D387" s="29">
        <v>1</v>
      </c>
      <c r="E387" s="32">
        <v>180000</v>
      </c>
      <c r="F387" s="33">
        <f ca="1">INDIRECT(ADDRESS(ROW(),COLUMN()-2,4))*INDIRECT(ADDRESS(ROW(),COLUMN()-1,4))</f>
        <v>180000</v>
      </c>
    </row>
    <row r="388" spans="1:6" ht="15.75" x14ac:dyDescent="0.25">
      <c r="A388" s="37"/>
      <c r="B388" s="37"/>
      <c r="C388" s="37"/>
      <c r="D388" s="37"/>
      <c r="E388" s="34" t="s">
        <v>46</v>
      </c>
      <c r="F388" s="35">
        <f ca="1">SUM(Table325[MONTO TOTAL ESTIMADO])</f>
        <v>180000</v>
      </c>
    </row>
    <row r="389" spans="1:6" ht="16.5" thickBot="1" x14ac:dyDescent="0.3">
      <c r="A389" s="19"/>
      <c r="B389" s="19"/>
      <c r="C389" s="19"/>
      <c r="D389" s="19"/>
      <c r="E389" s="19"/>
      <c r="F389" s="19"/>
    </row>
    <row r="390" spans="1:6" ht="32.25" thickBot="1" x14ac:dyDescent="0.3">
      <c r="A390" s="20" t="s">
        <v>18</v>
      </c>
      <c r="B390" s="20" t="s">
        <v>19</v>
      </c>
      <c r="C390" s="20" t="s">
        <v>20</v>
      </c>
      <c r="D390" s="20" t="s">
        <v>21</v>
      </c>
      <c r="E390" s="20" t="s">
        <v>22</v>
      </c>
      <c r="F390" s="20" t="s">
        <v>23</v>
      </c>
    </row>
    <row r="391" spans="1:6" ht="16.5" thickBot="1" x14ac:dyDescent="0.3">
      <c r="A391" s="21" t="s">
        <v>139</v>
      </c>
      <c r="B391" s="21" t="s">
        <v>136</v>
      </c>
      <c r="C391" s="21" t="s">
        <v>26</v>
      </c>
      <c r="D391" s="21" t="s">
        <v>140</v>
      </c>
      <c r="E391" s="21" t="s">
        <v>107</v>
      </c>
      <c r="F391" s="21"/>
    </row>
    <row r="392" spans="1:6" ht="16.5" thickBot="1" x14ac:dyDescent="0.3">
      <c r="A392" s="47" t="s">
        <v>29</v>
      </c>
      <c r="B392" s="22" t="s">
        <v>30</v>
      </c>
      <c r="C392" s="36">
        <v>45079</v>
      </c>
      <c r="D392" s="47" t="s">
        <v>31</v>
      </c>
      <c r="E392" s="22" t="s">
        <v>32</v>
      </c>
      <c r="F392" s="21"/>
    </row>
    <row r="393" spans="1:6" ht="16.5" thickBot="1" x14ac:dyDescent="0.3">
      <c r="A393" s="48"/>
      <c r="B393" s="22" t="s">
        <v>33</v>
      </c>
      <c r="C393" s="26">
        <f>IF(C392="","",IF(AND(MONTH(C392)&gt;=1,MONTH(C392)&lt;=3),1,IF(AND(MONTH(C392)&gt;=4,MONTH(C392)&lt;=6),2,IF(AND(MONTH(C392)&gt;=7,MONTH(C392)&lt;=9),3,4))))</f>
        <v>2</v>
      </c>
      <c r="D393" s="48"/>
      <c r="E393" s="22" t="s">
        <v>34</v>
      </c>
      <c r="F393" s="21"/>
    </row>
    <row r="394" spans="1:6" ht="16.5" thickBot="1" x14ac:dyDescent="0.3">
      <c r="A394" s="48"/>
      <c r="B394" s="22" t="s">
        <v>35</v>
      </c>
      <c r="C394" s="36">
        <v>45086</v>
      </c>
      <c r="D394" s="48"/>
      <c r="E394" s="22" t="s">
        <v>36</v>
      </c>
      <c r="F394" s="21"/>
    </row>
    <row r="395" spans="1:6" ht="16.5" thickBot="1" x14ac:dyDescent="0.3">
      <c r="A395" s="48"/>
      <c r="B395" s="22" t="s">
        <v>33</v>
      </c>
      <c r="C395" s="26">
        <f>IF(C394="","",IF(AND(MONTH(C394)&gt;=1,MONTH(C394)&lt;=3),1,IF(AND(MONTH(C394)&gt;=4,MONTH(C394)&lt;=6),2,IF(AND(MONTH(C394)&gt;=7,MONTH(C394)&lt;=9),3,4))))</f>
        <v>2</v>
      </c>
      <c r="D395" s="48"/>
      <c r="E395" s="22" t="s">
        <v>37</v>
      </c>
      <c r="F395" s="21"/>
    </row>
    <row r="396" spans="1:6" ht="16.5" thickBot="1" x14ac:dyDescent="0.3">
      <c r="A396" s="37"/>
      <c r="B396" s="37"/>
      <c r="C396" s="37"/>
      <c r="D396" s="37"/>
      <c r="E396" s="37"/>
      <c r="F396" s="37"/>
    </row>
    <row r="397" spans="1:6" ht="16.5" thickBot="1" x14ac:dyDescent="0.3">
      <c r="A397" s="28" t="s">
        <v>38</v>
      </c>
      <c r="B397" s="28" t="s">
        <v>39</v>
      </c>
      <c r="C397" s="28" t="s">
        <v>40</v>
      </c>
      <c r="D397" s="28" t="s">
        <v>41</v>
      </c>
      <c r="E397" s="28" t="s">
        <v>42</v>
      </c>
      <c r="F397" s="28" t="s">
        <v>43</v>
      </c>
    </row>
    <row r="398" spans="1:6" ht="15.75" x14ac:dyDescent="0.25">
      <c r="A398" s="29">
        <v>25101503</v>
      </c>
      <c r="B398" s="30" t="str">
        <f ca="1">IFERROR(INDEX(UNSPSCDes,MATCH(INDIRECT(ADDRESS(ROW(),COLUMN()-1,4)),UNSPSCCode,0)),"")</f>
        <v>Carros</v>
      </c>
      <c r="C398" s="29" t="s">
        <v>72</v>
      </c>
      <c r="D398" s="29">
        <v>1</v>
      </c>
      <c r="E398" s="32">
        <v>3000000</v>
      </c>
      <c r="F398" s="33">
        <f ca="1">INDIRECT(ADDRESS(ROW(),COLUMN()-2,4))*INDIRECT(ADDRESS(ROW(),COLUMN()-1,4))</f>
        <v>3000000</v>
      </c>
    </row>
    <row r="399" spans="1:6" ht="15.75" x14ac:dyDescent="0.25">
      <c r="A399" s="37"/>
      <c r="B399" s="37"/>
      <c r="C399" s="37"/>
      <c r="D399" s="37"/>
      <c r="E399" s="34" t="s">
        <v>46</v>
      </c>
      <c r="F399" s="35">
        <f ca="1">SUM(Table326[MONTO TOTAL ESTIMADO])</f>
        <v>3000000</v>
      </c>
    </row>
    <row r="400" spans="1:6" ht="16.5" thickBot="1" x14ac:dyDescent="0.3">
      <c r="A400" s="19"/>
      <c r="B400" s="19"/>
      <c r="C400" s="19"/>
      <c r="D400" s="19"/>
      <c r="E400" s="19"/>
      <c r="F400" s="19"/>
    </row>
    <row r="401" spans="1:6" ht="32.25" thickBot="1" x14ac:dyDescent="0.3">
      <c r="A401" s="20" t="s">
        <v>18</v>
      </c>
      <c r="B401" s="20" t="s">
        <v>19</v>
      </c>
      <c r="C401" s="20" t="s">
        <v>20</v>
      </c>
      <c r="D401" s="20" t="s">
        <v>21</v>
      </c>
      <c r="E401" s="20" t="s">
        <v>22</v>
      </c>
      <c r="F401" s="20" t="s">
        <v>23</v>
      </c>
    </row>
    <row r="402" spans="1:6" ht="16.5" thickBot="1" x14ac:dyDescent="0.3">
      <c r="A402" s="21" t="s">
        <v>141</v>
      </c>
      <c r="B402" s="21" t="s">
        <v>142</v>
      </c>
      <c r="C402" s="21" t="s">
        <v>26</v>
      </c>
      <c r="D402" s="21" t="s">
        <v>27</v>
      </c>
      <c r="E402" s="21" t="s">
        <v>107</v>
      </c>
      <c r="F402" s="21"/>
    </row>
    <row r="403" spans="1:6" ht="16.5" thickBot="1" x14ac:dyDescent="0.3">
      <c r="A403" s="47" t="s">
        <v>29</v>
      </c>
      <c r="B403" s="22" t="s">
        <v>30</v>
      </c>
      <c r="C403" s="36">
        <v>45201</v>
      </c>
      <c r="D403" s="47" t="s">
        <v>31</v>
      </c>
      <c r="E403" s="22" t="s">
        <v>32</v>
      </c>
      <c r="F403" s="21"/>
    </row>
    <row r="404" spans="1:6" ht="16.5" thickBot="1" x14ac:dyDescent="0.3">
      <c r="A404" s="48"/>
      <c r="B404" s="22" t="s">
        <v>33</v>
      </c>
      <c r="C404" s="26">
        <f>IF(C403="","",IF(AND(MONTH(C403)&gt;=1,MONTH(C403)&lt;=3),1,IF(AND(MONTH(C403)&gt;=4,MONTH(C403)&lt;=6),2,IF(AND(MONTH(C403)&gt;=7,MONTH(C403)&lt;=9),3,4))))</f>
        <v>4</v>
      </c>
      <c r="D404" s="48"/>
      <c r="E404" s="22" t="s">
        <v>34</v>
      </c>
      <c r="F404" s="21"/>
    </row>
    <row r="405" spans="1:6" ht="16.5" thickBot="1" x14ac:dyDescent="0.3">
      <c r="A405" s="48"/>
      <c r="B405" s="22" t="s">
        <v>35</v>
      </c>
      <c r="C405" s="36">
        <v>45202</v>
      </c>
      <c r="D405" s="48"/>
      <c r="E405" s="22" t="s">
        <v>36</v>
      </c>
      <c r="F405" s="21"/>
    </row>
    <row r="406" spans="1:6" ht="16.5" thickBot="1" x14ac:dyDescent="0.3">
      <c r="A406" s="48"/>
      <c r="B406" s="22" t="s">
        <v>33</v>
      </c>
      <c r="C406" s="26">
        <f>IF(C405="","",IF(AND(MONTH(C405)&gt;=1,MONTH(C405)&lt;=3),1,IF(AND(MONTH(C405)&gt;=4,MONTH(C405)&lt;=6),2,IF(AND(MONTH(C405)&gt;=7,MONTH(C405)&lt;=9),3,4))))</f>
        <v>4</v>
      </c>
      <c r="D406" s="48"/>
      <c r="E406" s="22" t="s">
        <v>37</v>
      </c>
      <c r="F406" s="21"/>
    </row>
    <row r="407" spans="1:6" ht="16.5" thickBot="1" x14ac:dyDescent="0.3">
      <c r="A407" s="37"/>
      <c r="B407" s="37"/>
      <c r="C407" s="37"/>
      <c r="D407" s="37"/>
      <c r="E407" s="37"/>
      <c r="F407" s="37"/>
    </row>
    <row r="408" spans="1:6" ht="16.5" thickBot="1" x14ac:dyDescent="0.3">
      <c r="A408" s="28" t="s">
        <v>38</v>
      </c>
      <c r="B408" s="28" t="s">
        <v>39</v>
      </c>
      <c r="C408" s="28" t="s">
        <v>40</v>
      </c>
      <c r="D408" s="28" t="s">
        <v>41</v>
      </c>
      <c r="E408" s="28" t="s">
        <v>42</v>
      </c>
      <c r="F408" s="28" t="s">
        <v>43</v>
      </c>
    </row>
    <row r="409" spans="1:6" ht="15.75" x14ac:dyDescent="0.25">
      <c r="A409" s="29">
        <v>46101502</v>
      </c>
      <c r="B409" s="30" t="str">
        <f ca="1">IFERROR(INDEX(UNSPSCDes,MATCH(INDIRECT(ADDRESS(ROW(),COLUMN()-1,4)),UNSPSCCode,0)),"")</f>
        <v>Escopetas para la policía p seguridad</v>
      </c>
      <c r="C409" s="29" t="s">
        <v>72</v>
      </c>
      <c r="D409" s="29">
        <v>1</v>
      </c>
      <c r="E409" s="32">
        <v>80000</v>
      </c>
      <c r="F409" s="33">
        <f ca="1">INDIRECT(ADDRESS(ROW(),COLUMN()-2,4))*INDIRECT(ADDRESS(ROW(),COLUMN()-1,4))</f>
        <v>80000</v>
      </c>
    </row>
    <row r="410" spans="1:6" ht="15.75" x14ac:dyDescent="0.25">
      <c r="A410" s="37"/>
      <c r="B410" s="37"/>
      <c r="C410" s="37"/>
      <c r="D410" s="37"/>
      <c r="E410" s="34" t="s">
        <v>46</v>
      </c>
      <c r="F410" s="35">
        <f ca="1">SUM(Table327[MONTO TOTAL ESTIMADO])</f>
        <v>80000</v>
      </c>
    </row>
    <row r="411" spans="1:6" ht="16.5" thickBot="1" x14ac:dyDescent="0.3">
      <c r="A411" s="19"/>
      <c r="B411" s="19"/>
      <c r="C411" s="19"/>
      <c r="D411" s="19"/>
      <c r="E411" s="19"/>
      <c r="F411" s="19"/>
    </row>
    <row r="412" spans="1:6" ht="32.25" thickBot="1" x14ac:dyDescent="0.3">
      <c r="A412" s="20" t="s">
        <v>18</v>
      </c>
      <c r="B412" s="20" t="s">
        <v>19</v>
      </c>
      <c r="C412" s="20" t="s">
        <v>20</v>
      </c>
      <c r="D412" s="20" t="s">
        <v>21</v>
      </c>
      <c r="E412" s="20" t="s">
        <v>22</v>
      </c>
      <c r="F412" s="20" t="s">
        <v>23</v>
      </c>
    </row>
    <row r="413" spans="1:6" ht="16.5" thickBot="1" x14ac:dyDescent="0.3">
      <c r="A413" s="21" t="s">
        <v>143</v>
      </c>
      <c r="B413" s="21" t="s">
        <v>144</v>
      </c>
      <c r="C413" s="21" t="s">
        <v>106</v>
      </c>
      <c r="D413" s="21" t="s">
        <v>27</v>
      </c>
      <c r="E413" s="21" t="s">
        <v>28</v>
      </c>
      <c r="F413" s="21"/>
    </row>
    <row r="414" spans="1:6" ht="16.5" thickBot="1" x14ac:dyDescent="0.3">
      <c r="A414" s="47" t="s">
        <v>29</v>
      </c>
      <c r="B414" s="22" t="s">
        <v>30</v>
      </c>
      <c r="C414" s="36">
        <v>45086</v>
      </c>
      <c r="D414" s="47" t="s">
        <v>31</v>
      </c>
      <c r="E414" s="22" t="s">
        <v>32</v>
      </c>
      <c r="F414" s="21"/>
    </row>
    <row r="415" spans="1:6" ht="16.5" thickBot="1" x14ac:dyDescent="0.3">
      <c r="A415" s="48"/>
      <c r="B415" s="22" t="s">
        <v>33</v>
      </c>
      <c r="C415" s="26">
        <f>IF(C414="","",IF(AND(MONTH(C414)&gt;=1,MONTH(C414)&lt;=3),1,IF(AND(MONTH(C414)&gt;=4,MONTH(C414)&lt;=6),2,IF(AND(MONTH(C414)&gt;=7,MONTH(C414)&lt;=9),3,4))))</f>
        <v>2</v>
      </c>
      <c r="D415" s="48"/>
      <c r="E415" s="22" t="s">
        <v>34</v>
      </c>
      <c r="F415" s="21"/>
    </row>
    <row r="416" spans="1:6" ht="16.5" thickBot="1" x14ac:dyDescent="0.3">
      <c r="A416" s="48"/>
      <c r="B416" s="22" t="s">
        <v>35</v>
      </c>
      <c r="C416" s="36">
        <v>45089</v>
      </c>
      <c r="D416" s="48"/>
      <c r="E416" s="22" t="s">
        <v>36</v>
      </c>
      <c r="F416" s="21"/>
    </row>
    <row r="417" spans="1:6" ht="16.5" thickBot="1" x14ac:dyDescent="0.3">
      <c r="A417" s="48"/>
      <c r="B417" s="22" t="s">
        <v>33</v>
      </c>
      <c r="C417" s="26">
        <f>IF(C416="","",IF(AND(MONTH(C416)&gt;=1,MONTH(C416)&lt;=3),1,IF(AND(MONTH(C416)&gt;=4,MONTH(C416)&lt;=6),2,IF(AND(MONTH(C416)&gt;=7,MONTH(C416)&lt;=9),3,4))))</f>
        <v>2</v>
      </c>
      <c r="D417" s="48"/>
      <c r="E417" s="22" t="s">
        <v>37</v>
      </c>
      <c r="F417" s="21"/>
    </row>
    <row r="418" spans="1:6" ht="16.5" thickBot="1" x14ac:dyDescent="0.3">
      <c r="A418" s="37"/>
      <c r="B418" s="37"/>
      <c r="C418" s="37"/>
      <c r="D418" s="37"/>
      <c r="E418" s="37"/>
      <c r="F418" s="37"/>
    </row>
    <row r="419" spans="1:6" ht="16.5" thickBot="1" x14ac:dyDescent="0.3">
      <c r="A419" s="28" t="s">
        <v>38</v>
      </c>
      <c r="B419" s="28" t="s">
        <v>39</v>
      </c>
      <c r="C419" s="28" t="s">
        <v>40</v>
      </c>
      <c r="D419" s="28" t="s">
        <v>41</v>
      </c>
      <c r="E419" s="28" t="s">
        <v>42</v>
      </c>
      <c r="F419" s="28" t="s">
        <v>43</v>
      </c>
    </row>
    <row r="420" spans="1:6" ht="15.75" x14ac:dyDescent="0.25">
      <c r="A420" s="29">
        <v>73111505</v>
      </c>
      <c r="B420" s="30" t="str">
        <f ca="1">IFERROR(INDEX(UNSPSCDes,MATCH(INDIRECT(ADDRESS(ROW(),COLUMN()-1,4)),UNSPSCCode,0)),"")</f>
        <v>Servicios de fabricación de muebles</v>
      </c>
      <c r="C420" s="29" t="s">
        <v>72</v>
      </c>
      <c r="D420" s="29">
        <v>1</v>
      </c>
      <c r="E420" s="32">
        <v>80000</v>
      </c>
      <c r="F420" s="33">
        <f ca="1">INDIRECT(ADDRESS(ROW(),COLUMN()-2,4))*INDIRECT(ADDRESS(ROW(),COLUMN()-1,4))</f>
        <v>80000</v>
      </c>
    </row>
    <row r="421" spans="1:6" ht="15.75" x14ac:dyDescent="0.25">
      <c r="A421" s="37"/>
      <c r="B421" s="37"/>
      <c r="C421" s="37"/>
      <c r="D421" s="37"/>
      <c r="E421" s="34" t="s">
        <v>46</v>
      </c>
      <c r="F421" s="35">
        <f ca="1">SUM(Table328[MONTO TOTAL ESTIMADO])</f>
        <v>80000</v>
      </c>
    </row>
    <row r="422" spans="1:6" ht="16.5" thickBot="1" x14ac:dyDescent="0.3">
      <c r="A422" s="19"/>
      <c r="B422" s="19"/>
      <c r="C422" s="19"/>
      <c r="D422" s="19"/>
      <c r="E422" s="19"/>
      <c r="F422" s="19"/>
    </row>
    <row r="423" spans="1:6" ht="32.25" thickBot="1" x14ac:dyDescent="0.3">
      <c r="A423" s="20" t="s">
        <v>18</v>
      </c>
      <c r="B423" s="20" t="s">
        <v>19</v>
      </c>
      <c r="C423" s="20" t="s">
        <v>20</v>
      </c>
      <c r="D423" s="20" t="s">
        <v>21</v>
      </c>
      <c r="E423" s="20" t="s">
        <v>22</v>
      </c>
      <c r="F423" s="20" t="s">
        <v>23</v>
      </c>
    </row>
    <row r="424" spans="1:6" ht="16.5" thickBot="1" x14ac:dyDescent="0.3">
      <c r="A424" s="21" t="s">
        <v>145</v>
      </c>
      <c r="B424" s="21" t="s">
        <v>146</v>
      </c>
      <c r="C424" s="21" t="s">
        <v>106</v>
      </c>
      <c r="D424" s="21" t="s">
        <v>140</v>
      </c>
      <c r="E424" s="21" t="s">
        <v>107</v>
      </c>
      <c r="F424" s="21"/>
    </row>
    <row r="425" spans="1:6" ht="16.5" thickBot="1" x14ac:dyDescent="0.3">
      <c r="A425" s="47" t="s">
        <v>29</v>
      </c>
      <c r="B425" s="22" t="s">
        <v>30</v>
      </c>
      <c r="C425" s="36">
        <v>45027</v>
      </c>
      <c r="D425" s="47" t="s">
        <v>31</v>
      </c>
      <c r="E425" s="22" t="s">
        <v>32</v>
      </c>
      <c r="F425" s="21"/>
    </row>
    <row r="426" spans="1:6" ht="16.5" thickBot="1" x14ac:dyDescent="0.3">
      <c r="A426" s="48"/>
      <c r="B426" s="22" t="s">
        <v>33</v>
      </c>
      <c r="C426" s="26">
        <f>IF(C425="","",IF(AND(MONTH(C425)&gt;=1,MONTH(C425)&lt;=3),1,IF(AND(MONTH(C425)&gt;=4,MONTH(C425)&lt;=6),2,IF(AND(MONTH(C425)&gt;=7,MONTH(C425)&lt;=9),3,4))))</f>
        <v>2</v>
      </c>
      <c r="D426" s="48"/>
      <c r="E426" s="22" t="s">
        <v>34</v>
      </c>
      <c r="F426" s="21"/>
    </row>
    <row r="427" spans="1:6" ht="16.5" thickBot="1" x14ac:dyDescent="0.3">
      <c r="A427" s="48"/>
      <c r="B427" s="22" t="s">
        <v>35</v>
      </c>
      <c r="C427" s="36">
        <v>45034</v>
      </c>
      <c r="D427" s="48"/>
      <c r="E427" s="22" t="s">
        <v>36</v>
      </c>
      <c r="F427" s="21"/>
    </row>
    <row r="428" spans="1:6" ht="16.5" thickBot="1" x14ac:dyDescent="0.3">
      <c r="A428" s="48"/>
      <c r="B428" s="22" t="s">
        <v>33</v>
      </c>
      <c r="C428" s="26">
        <f>IF(C427="","",IF(AND(MONTH(C427)&gt;=1,MONTH(C427)&lt;=3),1,IF(AND(MONTH(C427)&gt;=4,MONTH(C427)&lt;=6),2,IF(AND(MONTH(C427)&gt;=7,MONTH(C427)&lt;=9),3,4))))</f>
        <v>2</v>
      </c>
      <c r="D428" s="48"/>
      <c r="E428" s="22" t="s">
        <v>37</v>
      </c>
      <c r="F428" s="21"/>
    </row>
    <row r="429" spans="1:6" ht="16.5" thickBot="1" x14ac:dyDescent="0.3">
      <c r="A429" s="37"/>
      <c r="B429" s="37"/>
      <c r="C429" s="37"/>
      <c r="D429" s="37"/>
      <c r="E429" s="37"/>
      <c r="F429" s="37"/>
    </row>
    <row r="430" spans="1:6" ht="16.5" thickBot="1" x14ac:dyDescent="0.3">
      <c r="A430" s="28" t="s">
        <v>38</v>
      </c>
      <c r="B430" s="28" t="s">
        <v>39</v>
      </c>
      <c r="C430" s="28" t="s">
        <v>40</v>
      </c>
      <c r="D430" s="28" t="s">
        <v>41</v>
      </c>
      <c r="E430" s="28" t="s">
        <v>42</v>
      </c>
      <c r="F430" s="28" t="s">
        <v>43</v>
      </c>
    </row>
    <row r="431" spans="1:6" ht="31.5" x14ac:dyDescent="0.25">
      <c r="A431" s="29">
        <v>72102801</v>
      </c>
      <c r="B431" s="30" t="str">
        <f ca="1">IFERROR(INDEX(UNSPSCDes,MATCH(INDIRECT(ADDRESS(ROW(),COLUMN()-1,4)),UNSPSCCode,0)),"")</f>
        <v>Renovación de edificios, mojones y monumentos</v>
      </c>
      <c r="C431" s="29" t="s">
        <v>72</v>
      </c>
      <c r="D431" s="29">
        <v>2</v>
      </c>
      <c r="E431" s="32">
        <v>400000</v>
      </c>
      <c r="F431" s="33">
        <f ca="1">INDIRECT(ADDRESS(ROW(),COLUMN()-2,4))*INDIRECT(ADDRESS(ROW(),COLUMN()-1,4))</f>
        <v>800000</v>
      </c>
    </row>
    <row r="432" spans="1:6" ht="15.75" x14ac:dyDescent="0.25">
      <c r="A432" s="37"/>
      <c r="B432" s="37"/>
      <c r="C432" s="37"/>
      <c r="D432" s="37"/>
      <c r="E432" s="34" t="s">
        <v>46</v>
      </c>
      <c r="F432" s="35">
        <f ca="1">SUM(Table329[MONTO TOTAL ESTIMADO])</f>
        <v>800000</v>
      </c>
    </row>
    <row r="433" spans="1:6" ht="16.5" thickBot="1" x14ac:dyDescent="0.3">
      <c r="A433" s="19"/>
      <c r="B433" s="19"/>
      <c r="C433" s="19"/>
      <c r="D433" s="19"/>
      <c r="E433" s="19"/>
      <c r="F433" s="19"/>
    </row>
    <row r="434" spans="1:6" ht="32.25" thickBot="1" x14ac:dyDescent="0.3">
      <c r="A434" s="20" t="s">
        <v>18</v>
      </c>
      <c r="B434" s="20" t="s">
        <v>19</v>
      </c>
      <c r="C434" s="20" t="s">
        <v>20</v>
      </c>
      <c r="D434" s="20" t="s">
        <v>21</v>
      </c>
      <c r="E434" s="20" t="s">
        <v>22</v>
      </c>
      <c r="F434" s="20" t="s">
        <v>23</v>
      </c>
    </row>
    <row r="435" spans="1:6" ht="16.5" thickBot="1" x14ac:dyDescent="0.3">
      <c r="A435" s="21" t="s">
        <v>147</v>
      </c>
      <c r="B435" s="21" t="s">
        <v>144</v>
      </c>
      <c r="C435" s="21" t="s">
        <v>106</v>
      </c>
      <c r="D435" s="21" t="s">
        <v>27</v>
      </c>
      <c r="E435" s="21" t="s">
        <v>107</v>
      </c>
      <c r="F435" s="21"/>
    </row>
    <row r="436" spans="1:6" ht="16.5" thickBot="1" x14ac:dyDescent="0.3">
      <c r="A436" s="47" t="s">
        <v>29</v>
      </c>
      <c r="B436" s="22" t="s">
        <v>30</v>
      </c>
      <c r="C436" s="36">
        <v>45027</v>
      </c>
      <c r="D436" s="47" t="s">
        <v>31</v>
      </c>
      <c r="E436" s="22" t="s">
        <v>32</v>
      </c>
      <c r="F436" s="21"/>
    </row>
    <row r="437" spans="1:6" ht="16.5" thickBot="1" x14ac:dyDescent="0.3">
      <c r="A437" s="48"/>
      <c r="B437" s="22" t="s">
        <v>33</v>
      </c>
      <c r="C437" s="26">
        <f>IF(C436="","",IF(AND(MONTH(C436)&gt;=1,MONTH(C436)&lt;=3),1,IF(AND(MONTH(C436)&gt;=4,MONTH(C436)&lt;=6),2,IF(AND(MONTH(C436)&gt;=7,MONTH(C436)&lt;=9),3,4))))</f>
        <v>2</v>
      </c>
      <c r="D437" s="48"/>
      <c r="E437" s="22" t="s">
        <v>34</v>
      </c>
      <c r="F437" s="21"/>
    </row>
    <row r="438" spans="1:6" ht="16.5" thickBot="1" x14ac:dyDescent="0.3">
      <c r="A438" s="48"/>
      <c r="B438" s="22" t="s">
        <v>35</v>
      </c>
      <c r="C438" s="36">
        <v>45028</v>
      </c>
      <c r="D438" s="48"/>
      <c r="E438" s="22" t="s">
        <v>36</v>
      </c>
      <c r="F438" s="21"/>
    </row>
    <row r="439" spans="1:6" ht="16.5" thickBot="1" x14ac:dyDescent="0.3">
      <c r="A439" s="48"/>
      <c r="B439" s="22" t="s">
        <v>33</v>
      </c>
      <c r="C439" s="26">
        <f>IF(C438="","",IF(AND(MONTH(C438)&gt;=1,MONTH(C438)&lt;=3),1,IF(AND(MONTH(C438)&gt;=4,MONTH(C438)&lt;=6),2,IF(AND(MONTH(C438)&gt;=7,MONTH(C438)&lt;=9),3,4))))</f>
        <v>2</v>
      </c>
      <c r="D439" s="48"/>
      <c r="E439" s="22" t="s">
        <v>37</v>
      </c>
      <c r="F439" s="21"/>
    </row>
    <row r="440" spans="1:6" ht="16.5" thickBot="1" x14ac:dyDescent="0.3">
      <c r="A440" s="37"/>
      <c r="B440" s="37"/>
      <c r="C440" s="37"/>
      <c r="D440" s="37"/>
      <c r="E440" s="37"/>
      <c r="F440" s="37"/>
    </row>
    <row r="441" spans="1:6" ht="16.5" thickBot="1" x14ac:dyDescent="0.3">
      <c r="A441" s="28" t="s">
        <v>38</v>
      </c>
      <c r="B441" s="28" t="s">
        <v>39</v>
      </c>
      <c r="C441" s="28" t="s">
        <v>40</v>
      </c>
      <c r="D441" s="28" t="s">
        <v>41</v>
      </c>
      <c r="E441" s="28" t="s">
        <v>42</v>
      </c>
      <c r="F441" s="28" t="s">
        <v>43</v>
      </c>
    </row>
    <row r="442" spans="1:6" ht="15.75" x14ac:dyDescent="0.25">
      <c r="A442" s="29">
        <v>78111808</v>
      </c>
      <c r="B442" s="30" t="str">
        <f ca="1">IFERROR(INDEX(UNSPSCDes,MATCH(INDIRECT(ADDRESS(ROW(),COLUMN()-1,4)),UNSPSCCode,0)),"")</f>
        <v>Alquiler de vehículos</v>
      </c>
      <c r="C442" s="29" t="s">
        <v>72</v>
      </c>
      <c r="D442" s="29">
        <v>1</v>
      </c>
      <c r="E442" s="32">
        <v>180000</v>
      </c>
      <c r="F442" s="33">
        <f ca="1">INDIRECT(ADDRESS(ROW(),COLUMN()-2,4))*INDIRECT(ADDRESS(ROW(),COLUMN()-1,4))</f>
        <v>180000</v>
      </c>
    </row>
    <row r="443" spans="1:6" ht="15.75" x14ac:dyDescent="0.25">
      <c r="A443" s="37"/>
      <c r="B443" s="37"/>
      <c r="C443" s="37"/>
      <c r="D443" s="37"/>
      <c r="E443" s="34" t="s">
        <v>46</v>
      </c>
      <c r="F443" s="35">
        <f ca="1">SUM(Table330[MONTO TOTAL ESTIMADO])</f>
        <v>180000</v>
      </c>
    </row>
    <row r="444" spans="1:6" ht="16.5" thickBot="1" x14ac:dyDescent="0.3">
      <c r="A444" s="19"/>
      <c r="B444" s="19"/>
      <c r="C444" s="19"/>
      <c r="D444" s="19"/>
      <c r="E444" s="19"/>
      <c r="F444" s="19"/>
    </row>
    <row r="445" spans="1:6" ht="32.25" thickBot="1" x14ac:dyDescent="0.3">
      <c r="A445" s="20" t="s">
        <v>18</v>
      </c>
      <c r="B445" s="20" t="s">
        <v>19</v>
      </c>
      <c r="C445" s="20" t="s">
        <v>20</v>
      </c>
      <c r="D445" s="20" t="s">
        <v>21</v>
      </c>
      <c r="E445" s="20" t="s">
        <v>22</v>
      </c>
      <c r="F445" s="20" t="s">
        <v>23</v>
      </c>
    </row>
    <row r="446" spans="1:6" ht="16.5" thickBot="1" x14ac:dyDescent="0.3">
      <c r="A446" s="21" t="s">
        <v>148</v>
      </c>
      <c r="B446" s="21" t="s">
        <v>144</v>
      </c>
      <c r="C446" s="21" t="s">
        <v>106</v>
      </c>
      <c r="D446" s="21" t="s">
        <v>27</v>
      </c>
      <c r="E446" s="21" t="s">
        <v>107</v>
      </c>
      <c r="F446" s="21"/>
    </row>
    <row r="447" spans="1:6" ht="16.5" thickBot="1" x14ac:dyDescent="0.3">
      <c r="A447" s="47" t="s">
        <v>29</v>
      </c>
      <c r="B447" s="22" t="s">
        <v>30</v>
      </c>
      <c r="C447" s="36">
        <v>45061</v>
      </c>
      <c r="D447" s="47" t="s">
        <v>31</v>
      </c>
      <c r="E447" s="22" t="s">
        <v>32</v>
      </c>
      <c r="F447" s="21"/>
    </row>
    <row r="448" spans="1:6" ht="16.5" thickBot="1" x14ac:dyDescent="0.3">
      <c r="A448" s="48"/>
      <c r="B448" s="22" t="s">
        <v>33</v>
      </c>
      <c r="C448" s="26">
        <f>IF(C447="","",IF(AND(MONTH(C447)&gt;=1,MONTH(C447)&lt;=3),1,IF(AND(MONTH(C447)&gt;=4,MONTH(C447)&lt;=6),2,IF(AND(MONTH(C447)&gt;=7,MONTH(C447)&lt;=9),3,4))))</f>
        <v>2</v>
      </c>
      <c r="D448" s="48"/>
      <c r="E448" s="22" t="s">
        <v>34</v>
      </c>
      <c r="F448" s="21"/>
    </row>
    <row r="449" spans="1:6" ht="16.5" thickBot="1" x14ac:dyDescent="0.3">
      <c r="A449" s="48"/>
      <c r="B449" s="22" t="s">
        <v>35</v>
      </c>
      <c r="C449" s="36">
        <v>45062</v>
      </c>
      <c r="D449" s="48"/>
      <c r="E449" s="22" t="s">
        <v>36</v>
      </c>
      <c r="F449" s="21"/>
    </row>
    <row r="450" spans="1:6" ht="16.5" thickBot="1" x14ac:dyDescent="0.3">
      <c r="A450" s="48"/>
      <c r="B450" s="22" t="s">
        <v>33</v>
      </c>
      <c r="C450" s="26">
        <f>IF(C449="","",IF(AND(MONTH(C449)&gt;=1,MONTH(C449)&lt;=3),1,IF(AND(MONTH(C449)&gt;=4,MONTH(C449)&lt;=6),2,IF(AND(MONTH(C449)&gt;=7,MONTH(C449)&lt;=9),3,4))))</f>
        <v>2</v>
      </c>
      <c r="D450" s="48"/>
      <c r="E450" s="22" t="s">
        <v>37</v>
      </c>
      <c r="F450" s="21"/>
    </row>
    <row r="451" spans="1:6" ht="16.5" thickBot="1" x14ac:dyDescent="0.3">
      <c r="A451" s="37"/>
      <c r="B451" s="37"/>
      <c r="C451" s="37"/>
      <c r="D451" s="37"/>
      <c r="E451" s="37"/>
      <c r="F451" s="37"/>
    </row>
    <row r="452" spans="1:6" ht="16.5" thickBot="1" x14ac:dyDescent="0.3">
      <c r="A452" s="28" t="s">
        <v>38</v>
      </c>
      <c r="B452" s="28" t="s">
        <v>39</v>
      </c>
      <c r="C452" s="28" t="s">
        <v>40</v>
      </c>
      <c r="D452" s="28" t="s">
        <v>41</v>
      </c>
      <c r="E452" s="28" t="s">
        <v>42</v>
      </c>
      <c r="F452" s="28" t="s">
        <v>43</v>
      </c>
    </row>
    <row r="453" spans="1:6" ht="15.75" x14ac:dyDescent="0.25">
      <c r="A453" s="29">
        <v>73111505</v>
      </c>
      <c r="B453" s="30" t="str">
        <f ca="1">IFERROR(INDEX(UNSPSCDes,MATCH(INDIRECT(ADDRESS(ROW(),COLUMN()-1,4)),UNSPSCCode,0)),"")</f>
        <v>Servicios de fabricación de muebles</v>
      </c>
      <c r="C453" s="29" t="s">
        <v>72</v>
      </c>
      <c r="D453" s="29">
        <v>1</v>
      </c>
      <c r="E453" s="32">
        <v>30000</v>
      </c>
      <c r="F453" s="33">
        <f ca="1">INDIRECT(ADDRESS(ROW(),COLUMN()-2,4))*INDIRECT(ADDRESS(ROW(),COLUMN()-1,4))</f>
        <v>30000</v>
      </c>
    </row>
    <row r="454" spans="1:6" ht="15.75" x14ac:dyDescent="0.25">
      <c r="A454" s="37"/>
      <c r="B454" s="37"/>
      <c r="C454" s="37"/>
      <c r="D454" s="37"/>
      <c r="E454" s="34" t="s">
        <v>46</v>
      </c>
      <c r="F454" s="35">
        <f ca="1">SUM(Table333[MONTO TOTAL ESTIMADO])</f>
        <v>30000</v>
      </c>
    </row>
    <row r="455" spans="1:6" ht="16.5" thickBot="1" x14ac:dyDescent="0.3">
      <c r="A455" s="19"/>
      <c r="B455" s="19"/>
      <c r="C455" s="19"/>
      <c r="D455" s="19"/>
      <c r="E455" s="19"/>
      <c r="F455" s="19"/>
    </row>
    <row r="456" spans="1:6" ht="32.25" thickBot="1" x14ac:dyDescent="0.3">
      <c r="A456" s="20" t="s">
        <v>18</v>
      </c>
      <c r="B456" s="20" t="s">
        <v>19</v>
      </c>
      <c r="C456" s="20" t="s">
        <v>20</v>
      </c>
      <c r="D456" s="20" t="s">
        <v>21</v>
      </c>
      <c r="E456" s="20" t="s">
        <v>22</v>
      </c>
      <c r="F456" s="20" t="s">
        <v>23</v>
      </c>
    </row>
    <row r="457" spans="1:6" ht="16.5" thickBot="1" x14ac:dyDescent="0.3">
      <c r="A457" s="21" t="s">
        <v>149</v>
      </c>
      <c r="B457" s="21" t="s">
        <v>144</v>
      </c>
      <c r="C457" s="21" t="s">
        <v>26</v>
      </c>
      <c r="D457" s="21" t="s">
        <v>27</v>
      </c>
      <c r="E457" s="21" t="s">
        <v>28</v>
      </c>
      <c r="F457" s="21"/>
    </row>
    <row r="458" spans="1:6" ht="16.5" thickBot="1" x14ac:dyDescent="0.3">
      <c r="A458" s="47" t="s">
        <v>29</v>
      </c>
      <c r="B458" s="22" t="s">
        <v>30</v>
      </c>
      <c r="C458" s="36">
        <v>45027</v>
      </c>
      <c r="D458" s="47" t="s">
        <v>31</v>
      </c>
      <c r="E458" s="22" t="s">
        <v>32</v>
      </c>
      <c r="F458" s="21"/>
    </row>
    <row r="459" spans="1:6" ht="16.5" thickBot="1" x14ac:dyDescent="0.3">
      <c r="A459" s="48"/>
      <c r="B459" s="22" t="s">
        <v>33</v>
      </c>
      <c r="C459" s="26">
        <f>IF(C458="","",IF(AND(MONTH(C458)&gt;=1,MONTH(C458)&lt;=3),1,IF(AND(MONTH(C458)&gt;=4,MONTH(C458)&lt;=6),2,IF(AND(MONTH(C458)&gt;=7,MONTH(C458)&lt;=9),3,4))))</f>
        <v>2</v>
      </c>
      <c r="D459" s="48"/>
      <c r="E459" s="22" t="s">
        <v>34</v>
      </c>
      <c r="F459" s="21"/>
    </row>
    <row r="460" spans="1:6" ht="16.5" thickBot="1" x14ac:dyDescent="0.3">
      <c r="A460" s="48"/>
      <c r="B460" s="22" t="s">
        <v>35</v>
      </c>
      <c r="C460" s="36">
        <v>45028</v>
      </c>
      <c r="D460" s="48"/>
      <c r="E460" s="22" t="s">
        <v>36</v>
      </c>
      <c r="F460" s="21"/>
    </row>
    <row r="461" spans="1:6" ht="16.5" thickBot="1" x14ac:dyDescent="0.3">
      <c r="A461" s="48"/>
      <c r="B461" s="22" t="s">
        <v>33</v>
      </c>
      <c r="C461" s="26">
        <f>IF(C460="","",IF(AND(MONTH(C460)&gt;=1,MONTH(C460)&lt;=3),1,IF(AND(MONTH(C460)&gt;=4,MONTH(C460)&lt;=6),2,IF(AND(MONTH(C460)&gt;=7,MONTH(C460)&lt;=9),3,4))))</f>
        <v>2</v>
      </c>
      <c r="D461" s="48"/>
      <c r="E461" s="22" t="s">
        <v>37</v>
      </c>
      <c r="F461" s="21"/>
    </row>
    <row r="462" spans="1:6" ht="16.5" thickBot="1" x14ac:dyDescent="0.3">
      <c r="A462" s="37"/>
      <c r="B462" s="37"/>
      <c r="C462" s="37"/>
      <c r="D462" s="37"/>
      <c r="E462" s="37"/>
      <c r="F462" s="37"/>
    </row>
    <row r="463" spans="1:6" ht="16.5" thickBot="1" x14ac:dyDescent="0.3">
      <c r="A463" s="28" t="s">
        <v>38</v>
      </c>
      <c r="B463" s="28" t="s">
        <v>39</v>
      </c>
      <c r="C463" s="28" t="s">
        <v>40</v>
      </c>
      <c r="D463" s="28" t="s">
        <v>41</v>
      </c>
      <c r="E463" s="28" t="s">
        <v>42</v>
      </c>
      <c r="F463" s="28" t="s">
        <v>43</v>
      </c>
    </row>
    <row r="464" spans="1:6" ht="15.75" x14ac:dyDescent="0.25">
      <c r="A464" s="29">
        <v>55121715</v>
      </c>
      <c r="B464" s="30" t="str">
        <f ca="1">IFERROR(INDEX(UNSPSCDes,MATCH(INDIRECT(ADDRESS(ROW(),COLUMN()-1,4)),UNSPSCCode,0)),"")</f>
        <v>Banderas o accesorios</v>
      </c>
      <c r="C464" s="29" t="s">
        <v>72</v>
      </c>
      <c r="D464" s="29">
        <v>23</v>
      </c>
      <c r="E464" s="32">
        <v>2600</v>
      </c>
      <c r="F464" s="33">
        <f ca="1">INDIRECT(ADDRESS(ROW(),COLUMN()-2,4))*INDIRECT(ADDRESS(ROW(),COLUMN()-1,4))</f>
        <v>59800</v>
      </c>
    </row>
    <row r="465" spans="1:6" ht="15.75" x14ac:dyDescent="0.25">
      <c r="A465" s="37"/>
      <c r="B465" s="37"/>
      <c r="C465" s="37"/>
      <c r="D465" s="37"/>
      <c r="E465" s="34" t="s">
        <v>46</v>
      </c>
      <c r="F465" s="35">
        <f ca="1">SUM(Table334[MONTO TOTAL ESTIMADO])</f>
        <v>59800</v>
      </c>
    </row>
    <row r="466" spans="1:6" ht="16.5" thickBot="1" x14ac:dyDescent="0.3">
      <c r="A466" s="19"/>
      <c r="B466" s="19"/>
      <c r="C466" s="19"/>
      <c r="D466" s="19"/>
      <c r="E466" s="19"/>
      <c r="F466" s="19"/>
    </row>
    <row r="467" spans="1:6" ht="32.25" thickBot="1" x14ac:dyDescent="0.3">
      <c r="A467" s="20" t="s">
        <v>18</v>
      </c>
      <c r="B467" s="20" t="s">
        <v>19</v>
      </c>
      <c r="C467" s="20" t="s">
        <v>20</v>
      </c>
      <c r="D467" s="20" t="s">
        <v>21</v>
      </c>
      <c r="E467" s="20" t="s">
        <v>22</v>
      </c>
      <c r="F467" s="20" t="s">
        <v>23</v>
      </c>
    </row>
    <row r="468" spans="1:6" ht="16.5" thickBot="1" x14ac:dyDescent="0.3">
      <c r="A468" s="21" t="s">
        <v>150</v>
      </c>
      <c r="B468" s="21" t="s">
        <v>144</v>
      </c>
      <c r="C468" s="21" t="s">
        <v>106</v>
      </c>
      <c r="D468" s="21" t="s">
        <v>140</v>
      </c>
      <c r="E468" s="21" t="s">
        <v>107</v>
      </c>
      <c r="F468" s="21"/>
    </row>
    <row r="469" spans="1:6" ht="16.5" thickBot="1" x14ac:dyDescent="0.3">
      <c r="A469" s="47" t="s">
        <v>29</v>
      </c>
      <c r="B469" s="22" t="s">
        <v>30</v>
      </c>
      <c r="C469" s="36">
        <v>45026</v>
      </c>
      <c r="D469" s="47" t="s">
        <v>31</v>
      </c>
      <c r="E469" s="22" t="s">
        <v>32</v>
      </c>
      <c r="F469" s="21"/>
    </row>
    <row r="470" spans="1:6" ht="16.5" thickBot="1" x14ac:dyDescent="0.3">
      <c r="A470" s="48"/>
      <c r="B470" s="22" t="s">
        <v>33</v>
      </c>
      <c r="C470" s="26">
        <f>IF(C469="","",IF(AND(MONTH(C469)&gt;=1,MONTH(C469)&lt;=3),1,IF(AND(MONTH(C469)&gt;=4,MONTH(C469)&lt;=6),2,IF(AND(MONTH(C469)&gt;=7,MONTH(C469)&lt;=9),3,4))))</f>
        <v>2</v>
      </c>
      <c r="D470" s="48"/>
      <c r="E470" s="22" t="s">
        <v>34</v>
      </c>
      <c r="F470" s="21"/>
    </row>
    <row r="471" spans="1:6" ht="16.5" thickBot="1" x14ac:dyDescent="0.3">
      <c r="A471" s="48"/>
      <c r="B471" s="22" t="s">
        <v>35</v>
      </c>
      <c r="C471" s="36">
        <v>45033</v>
      </c>
      <c r="D471" s="48"/>
      <c r="E471" s="22" t="s">
        <v>36</v>
      </c>
      <c r="F471" s="21"/>
    </row>
    <row r="472" spans="1:6" ht="16.5" thickBot="1" x14ac:dyDescent="0.3">
      <c r="A472" s="48"/>
      <c r="B472" s="22" t="s">
        <v>33</v>
      </c>
      <c r="C472" s="26">
        <f>IF(C471="","",IF(AND(MONTH(C471)&gt;=1,MONTH(C471)&lt;=3),1,IF(AND(MONTH(C471)&gt;=4,MONTH(C471)&lt;=6),2,IF(AND(MONTH(C471)&gt;=7,MONTH(C471)&lt;=9),3,4))))</f>
        <v>2</v>
      </c>
      <c r="D472" s="48"/>
      <c r="E472" s="22" t="s">
        <v>37</v>
      </c>
      <c r="F472" s="21"/>
    </row>
    <row r="473" spans="1:6" ht="16.5" thickBot="1" x14ac:dyDescent="0.3">
      <c r="A473" s="37"/>
      <c r="B473" s="37"/>
      <c r="C473" s="37"/>
      <c r="D473" s="37"/>
      <c r="E473" s="37"/>
      <c r="F473" s="37"/>
    </row>
    <row r="474" spans="1:6" ht="16.5" thickBot="1" x14ac:dyDescent="0.3">
      <c r="A474" s="28" t="s">
        <v>38</v>
      </c>
      <c r="B474" s="28" t="s">
        <v>39</v>
      </c>
      <c r="C474" s="28" t="s">
        <v>40</v>
      </c>
      <c r="D474" s="28" t="s">
        <v>41</v>
      </c>
      <c r="E474" s="28" t="s">
        <v>42</v>
      </c>
      <c r="F474" s="28" t="s">
        <v>43</v>
      </c>
    </row>
    <row r="475" spans="1:6" ht="15.75" x14ac:dyDescent="0.25">
      <c r="A475" s="29">
        <v>90101802</v>
      </c>
      <c r="B475" s="30" t="str">
        <f ca="1">IFERROR(INDEX(UNSPSCDes,MATCH(INDIRECT(ADDRESS(ROW(),COLUMN()-1,4)),UNSPSCCode,0)),"")</f>
        <v>Servicios de comidas a domicilio</v>
      </c>
      <c r="C475" s="29" t="s">
        <v>72</v>
      </c>
      <c r="D475" s="29">
        <v>1</v>
      </c>
      <c r="E475" s="32">
        <v>1200000</v>
      </c>
      <c r="F475" s="33">
        <f ca="1">INDIRECT(ADDRESS(ROW(),COLUMN()-2,4))*INDIRECT(ADDRESS(ROW(),COLUMN()-1,4))</f>
        <v>1200000</v>
      </c>
    </row>
    <row r="476" spans="1:6" ht="15.75" x14ac:dyDescent="0.25">
      <c r="A476" s="29">
        <v>90101802</v>
      </c>
      <c r="B476" s="30" t="str">
        <f ca="1">IFERROR(INDEX(UNSPSCDes,MATCH(INDIRECT(ADDRESS(ROW(),COLUMN()-1,4)),UNSPSCCode,0)),"")</f>
        <v>Servicios de comidas a domicilio</v>
      </c>
      <c r="C476" s="29" t="s">
        <v>72</v>
      </c>
      <c r="D476" s="29">
        <v>1</v>
      </c>
      <c r="E476" s="32">
        <v>800000</v>
      </c>
      <c r="F476" s="33">
        <f ca="1">INDIRECT(ADDRESS(ROW(),COLUMN()-2,4))*INDIRECT(ADDRESS(ROW(),COLUMN()-1,4))</f>
        <v>800000</v>
      </c>
    </row>
    <row r="477" spans="1:6" ht="15.75" x14ac:dyDescent="0.25">
      <c r="A477" s="37"/>
      <c r="B477" s="37"/>
      <c r="C477" s="37"/>
      <c r="D477" s="37"/>
      <c r="E477" s="34" t="s">
        <v>46</v>
      </c>
      <c r="F477" s="35">
        <f ca="1">SUM(Table335[MONTO TOTAL ESTIMADO])</f>
        <v>2000000</v>
      </c>
    </row>
    <row r="478" spans="1:6" ht="16.5" thickBot="1" x14ac:dyDescent="0.3">
      <c r="A478" s="19"/>
      <c r="B478" s="19"/>
      <c r="C478" s="19"/>
      <c r="D478" s="19"/>
      <c r="E478" s="19"/>
      <c r="F478" s="19"/>
    </row>
    <row r="479" spans="1:6" ht="32.25" thickBot="1" x14ac:dyDescent="0.3">
      <c r="A479" s="20" t="s">
        <v>18</v>
      </c>
      <c r="B479" s="20" t="s">
        <v>19</v>
      </c>
      <c r="C479" s="20" t="s">
        <v>20</v>
      </c>
      <c r="D479" s="20" t="s">
        <v>21</v>
      </c>
      <c r="E479" s="20" t="s">
        <v>22</v>
      </c>
      <c r="F479" s="20" t="s">
        <v>23</v>
      </c>
    </row>
    <row r="480" spans="1:6" ht="16.5" thickBot="1" x14ac:dyDescent="0.3">
      <c r="A480" s="21" t="s">
        <v>151</v>
      </c>
      <c r="B480" s="21" t="s">
        <v>144</v>
      </c>
      <c r="C480" s="21" t="s">
        <v>106</v>
      </c>
      <c r="D480" s="21" t="s">
        <v>57</v>
      </c>
      <c r="E480" s="21" t="s">
        <v>107</v>
      </c>
      <c r="F480" s="21"/>
    </row>
    <row r="481" spans="1:6" ht="16.5" thickBot="1" x14ac:dyDescent="0.3">
      <c r="A481" s="47" t="s">
        <v>29</v>
      </c>
      <c r="B481" s="22" t="s">
        <v>30</v>
      </c>
      <c r="C481" s="36">
        <v>45027</v>
      </c>
      <c r="D481" s="47" t="s">
        <v>31</v>
      </c>
      <c r="E481" s="22" t="s">
        <v>32</v>
      </c>
      <c r="F481" s="21"/>
    </row>
    <row r="482" spans="1:6" ht="16.5" thickBot="1" x14ac:dyDescent="0.3">
      <c r="A482" s="48"/>
      <c r="B482" s="22" t="s">
        <v>33</v>
      </c>
      <c r="C482" s="26">
        <f>IF(C481="","",IF(AND(MONTH(C481)&gt;=1,MONTH(C481)&lt;=3),1,IF(AND(MONTH(C481)&gt;=4,MONTH(C481)&lt;=6),2,IF(AND(MONTH(C481)&gt;=7,MONTH(C481)&lt;=9),3,4))))</f>
        <v>2</v>
      </c>
      <c r="D482" s="48"/>
      <c r="E482" s="22" t="s">
        <v>34</v>
      </c>
      <c r="F482" s="21"/>
    </row>
    <row r="483" spans="1:6" ht="16.5" thickBot="1" x14ac:dyDescent="0.3">
      <c r="A483" s="48"/>
      <c r="B483" s="22" t="s">
        <v>35</v>
      </c>
      <c r="C483" s="36">
        <v>45030</v>
      </c>
      <c r="D483" s="48"/>
      <c r="E483" s="22" t="s">
        <v>36</v>
      </c>
      <c r="F483" s="21"/>
    </row>
    <row r="484" spans="1:6" ht="16.5" thickBot="1" x14ac:dyDescent="0.3">
      <c r="A484" s="48"/>
      <c r="B484" s="22" t="s">
        <v>33</v>
      </c>
      <c r="C484" s="26">
        <f>IF(C483="","",IF(AND(MONTH(C483)&gt;=1,MONTH(C483)&lt;=3),1,IF(AND(MONTH(C483)&gt;=4,MONTH(C483)&lt;=6),2,IF(AND(MONTH(C483)&gt;=7,MONTH(C483)&lt;=9),3,4))))</f>
        <v>2</v>
      </c>
      <c r="D484" s="48"/>
      <c r="E484" s="22" t="s">
        <v>37</v>
      </c>
      <c r="F484" s="21"/>
    </row>
    <row r="485" spans="1:6" ht="16.5" thickBot="1" x14ac:dyDescent="0.3">
      <c r="A485" s="37"/>
      <c r="B485" s="37"/>
      <c r="C485" s="37"/>
      <c r="D485" s="37"/>
      <c r="E485" s="37"/>
      <c r="F485" s="37"/>
    </row>
    <row r="486" spans="1:6" ht="16.5" thickBot="1" x14ac:dyDescent="0.3">
      <c r="A486" s="28" t="s">
        <v>38</v>
      </c>
      <c r="B486" s="28" t="s">
        <v>39</v>
      </c>
      <c r="C486" s="28" t="s">
        <v>40</v>
      </c>
      <c r="D486" s="28" t="s">
        <v>41</v>
      </c>
      <c r="E486" s="28" t="s">
        <v>42</v>
      </c>
      <c r="F486" s="28" t="s">
        <v>43</v>
      </c>
    </row>
    <row r="487" spans="1:6" ht="15.75" x14ac:dyDescent="0.25">
      <c r="A487" s="29">
        <v>90101603</v>
      </c>
      <c r="B487" s="30" t="str">
        <f ca="1">IFERROR(INDEX(UNSPSCDes,MATCH(INDIRECT(ADDRESS(ROW(),COLUMN()-1,4)),UNSPSCCode,0)),"")</f>
        <v>Servicios de cáterin</v>
      </c>
      <c r="C487" s="29" t="s">
        <v>72</v>
      </c>
      <c r="D487" s="29">
        <v>1</v>
      </c>
      <c r="E487" s="32">
        <v>900000</v>
      </c>
      <c r="F487" s="33">
        <f ca="1">INDIRECT(ADDRESS(ROW(),COLUMN()-2,4))*INDIRECT(ADDRESS(ROW(),COLUMN()-1,4))</f>
        <v>900000</v>
      </c>
    </row>
    <row r="488" spans="1:6" ht="15.75" x14ac:dyDescent="0.25">
      <c r="A488" s="37"/>
      <c r="B488" s="37"/>
      <c r="C488" s="37"/>
      <c r="D488" s="37"/>
      <c r="E488" s="34" t="s">
        <v>46</v>
      </c>
      <c r="F488" s="35">
        <f ca="1">SUM(Table336[MONTO TOTAL ESTIMADO])</f>
        <v>900000</v>
      </c>
    </row>
    <row r="489" spans="1:6" ht="16.5" thickBot="1" x14ac:dyDescent="0.3">
      <c r="A489" s="19"/>
      <c r="B489" s="19"/>
      <c r="C489" s="19"/>
      <c r="D489" s="19"/>
      <c r="E489" s="19"/>
      <c r="F489" s="19"/>
    </row>
    <row r="490" spans="1:6" ht="32.25" thickBot="1" x14ac:dyDescent="0.3">
      <c r="A490" s="20" t="s">
        <v>18</v>
      </c>
      <c r="B490" s="20" t="s">
        <v>19</v>
      </c>
      <c r="C490" s="20" t="s">
        <v>20</v>
      </c>
      <c r="D490" s="20" t="s">
        <v>21</v>
      </c>
      <c r="E490" s="20" t="s">
        <v>22</v>
      </c>
      <c r="F490" s="20" t="s">
        <v>23</v>
      </c>
    </row>
    <row r="491" spans="1:6" ht="16.5" thickBot="1" x14ac:dyDescent="0.3">
      <c r="A491" s="21" t="s">
        <v>152</v>
      </c>
      <c r="B491" s="21" t="s">
        <v>144</v>
      </c>
      <c r="C491" s="21" t="s">
        <v>26</v>
      </c>
      <c r="D491" s="21" t="s">
        <v>57</v>
      </c>
      <c r="E491" s="21" t="s">
        <v>107</v>
      </c>
      <c r="F491" s="21"/>
    </row>
    <row r="492" spans="1:6" ht="16.5" thickBot="1" x14ac:dyDescent="0.3">
      <c r="A492" s="47" t="s">
        <v>29</v>
      </c>
      <c r="B492" s="22" t="s">
        <v>30</v>
      </c>
      <c r="C492" s="36">
        <v>45068</v>
      </c>
      <c r="D492" s="47" t="s">
        <v>31</v>
      </c>
      <c r="E492" s="22" t="s">
        <v>32</v>
      </c>
      <c r="F492" s="21"/>
    </row>
    <row r="493" spans="1:6" ht="16.5" thickBot="1" x14ac:dyDescent="0.3">
      <c r="A493" s="48"/>
      <c r="B493" s="22" t="s">
        <v>33</v>
      </c>
      <c r="C493" s="26">
        <f>IF(C492="","",IF(AND(MONTH(C492)&gt;=1,MONTH(C492)&lt;=3),1,IF(AND(MONTH(C492)&gt;=4,MONTH(C492)&lt;=6),2,IF(AND(MONTH(C492)&gt;=7,MONTH(C492)&lt;=9),3,4))))</f>
        <v>2</v>
      </c>
      <c r="D493" s="48"/>
      <c r="E493" s="22" t="s">
        <v>34</v>
      </c>
      <c r="F493" s="21"/>
    </row>
    <row r="494" spans="1:6" ht="16.5" thickBot="1" x14ac:dyDescent="0.3">
      <c r="A494" s="48"/>
      <c r="B494" s="22" t="s">
        <v>35</v>
      </c>
      <c r="C494" s="36">
        <v>45071</v>
      </c>
      <c r="D494" s="48"/>
      <c r="E494" s="22" t="s">
        <v>36</v>
      </c>
      <c r="F494" s="21"/>
    </row>
    <row r="495" spans="1:6" ht="16.5" thickBot="1" x14ac:dyDescent="0.3">
      <c r="A495" s="48"/>
      <c r="B495" s="22" t="s">
        <v>33</v>
      </c>
      <c r="C495" s="26">
        <f>IF(C494="","",IF(AND(MONTH(C494)&gt;=1,MONTH(C494)&lt;=3),1,IF(AND(MONTH(C494)&gt;=4,MONTH(C494)&lt;=6),2,IF(AND(MONTH(C494)&gt;=7,MONTH(C494)&lt;=9),3,4))))</f>
        <v>2</v>
      </c>
      <c r="D495" s="48"/>
      <c r="E495" s="22" t="s">
        <v>37</v>
      </c>
      <c r="F495" s="21"/>
    </row>
    <row r="496" spans="1:6" ht="16.5" thickBot="1" x14ac:dyDescent="0.3">
      <c r="A496" s="37"/>
      <c r="B496" s="37"/>
      <c r="C496" s="37"/>
      <c r="D496" s="37"/>
      <c r="E496" s="37"/>
      <c r="F496" s="37"/>
    </row>
    <row r="497" spans="1:6" ht="16.5" thickBot="1" x14ac:dyDescent="0.3">
      <c r="A497" s="28" t="s">
        <v>38</v>
      </c>
      <c r="B497" s="28" t="s">
        <v>39</v>
      </c>
      <c r="C497" s="28" t="s">
        <v>40</v>
      </c>
      <c r="D497" s="28" t="s">
        <v>41</v>
      </c>
      <c r="E497" s="28" t="s">
        <v>42</v>
      </c>
      <c r="F497" s="28" t="s">
        <v>43</v>
      </c>
    </row>
    <row r="498" spans="1:6" ht="15.75" x14ac:dyDescent="0.25">
      <c r="A498" s="29">
        <v>43211711</v>
      </c>
      <c r="B498" s="30" t="str">
        <f ca="1">IFERROR(INDEX(UNSPSCDes,MATCH(INDIRECT(ADDRESS(ROW(),COLUMN()-1,4)),UNSPSCCode,0)),"")</f>
        <v>Escáneres</v>
      </c>
      <c r="C498" s="29" t="s">
        <v>72</v>
      </c>
      <c r="D498" s="29">
        <v>2</v>
      </c>
      <c r="E498" s="32">
        <v>550000</v>
      </c>
      <c r="F498" s="33">
        <f ca="1">INDIRECT(ADDRESS(ROW(),COLUMN()-2,4))*INDIRECT(ADDRESS(ROW(),COLUMN()-1,4))</f>
        <v>1100000</v>
      </c>
    </row>
    <row r="499" spans="1:6" ht="15.75" x14ac:dyDescent="0.25">
      <c r="A499" s="37"/>
      <c r="B499" s="37"/>
      <c r="C499" s="37"/>
      <c r="D499" s="37"/>
      <c r="E499" s="34" t="s">
        <v>46</v>
      </c>
      <c r="F499" s="35">
        <f ca="1">SUM(Table337[MONTO TOTAL ESTIMADO])</f>
        <v>1100000</v>
      </c>
    </row>
    <row r="500" spans="1:6" ht="16.5" thickBot="1" x14ac:dyDescent="0.3">
      <c r="A500" s="19"/>
      <c r="B500" s="19"/>
      <c r="C500" s="19"/>
      <c r="D500" s="19"/>
      <c r="E500" s="19"/>
      <c r="F500" s="19"/>
    </row>
    <row r="501" spans="1:6" ht="32.25" thickBot="1" x14ac:dyDescent="0.3">
      <c r="A501" s="20" t="s">
        <v>18</v>
      </c>
      <c r="B501" s="20" t="s">
        <v>19</v>
      </c>
      <c r="C501" s="20" t="s">
        <v>20</v>
      </c>
      <c r="D501" s="20" t="s">
        <v>21</v>
      </c>
      <c r="E501" s="20" t="s">
        <v>22</v>
      </c>
      <c r="F501" s="20" t="s">
        <v>23</v>
      </c>
    </row>
    <row r="502" spans="1:6" ht="16.5" thickBot="1" x14ac:dyDescent="0.3">
      <c r="A502" s="21" t="s">
        <v>153</v>
      </c>
      <c r="B502" s="21" t="s">
        <v>142</v>
      </c>
      <c r="C502" s="21" t="s">
        <v>26</v>
      </c>
      <c r="D502" s="21" t="s">
        <v>57</v>
      </c>
      <c r="E502" s="21" t="s">
        <v>107</v>
      </c>
      <c r="F502" s="21"/>
    </row>
    <row r="503" spans="1:6" ht="16.5" thickBot="1" x14ac:dyDescent="0.3">
      <c r="A503" s="47" t="s">
        <v>29</v>
      </c>
      <c r="B503" s="22" t="s">
        <v>30</v>
      </c>
      <c r="C503" s="36">
        <v>45145</v>
      </c>
      <c r="D503" s="47" t="s">
        <v>31</v>
      </c>
      <c r="E503" s="22" t="s">
        <v>32</v>
      </c>
      <c r="F503" s="21"/>
    </row>
    <row r="504" spans="1:6" ht="16.5" thickBot="1" x14ac:dyDescent="0.3">
      <c r="A504" s="48"/>
      <c r="B504" s="22" t="s">
        <v>33</v>
      </c>
      <c r="C504" s="26">
        <f>IF(C503="","",IF(AND(MONTH(C503)&gt;=1,MONTH(C503)&lt;=3),1,IF(AND(MONTH(C503)&gt;=4,MONTH(C503)&lt;=6),2,IF(AND(MONTH(C503)&gt;=7,MONTH(C503)&lt;=9),3,4))))</f>
        <v>3</v>
      </c>
      <c r="D504" s="48"/>
      <c r="E504" s="22" t="s">
        <v>34</v>
      </c>
      <c r="F504" s="21"/>
    </row>
    <row r="505" spans="1:6" ht="16.5" thickBot="1" x14ac:dyDescent="0.3">
      <c r="A505" s="48"/>
      <c r="B505" s="22" t="s">
        <v>35</v>
      </c>
      <c r="C505" s="36">
        <v>45148</v>
      </c>
      <c r="D505" s="48"/>
      <c r="E505" s="22" t="s">
        <v>36</v>
      </c>
      <c r="F505" s="21"/>
    </row>
    <row r="506" spans="1:6" ht="16.5" thickBot="1" x14ac:dyDescent="0.3">
      <c r="A506" s="48"/>
      <c r="B506" s="22" t="s">
        <v>33</v>
      </c>
      <c r="C506" s="26">
        <f>IF(C505="","",IF(AND(MONTH(C505)&gt;=1,MONTH(C505)&lt;=3),1,IF(AND(MONTH(C505)&gt;=4,MONTH(C505)&lt;=6),2,IF(AND(MONTH(C505)&gt;=7,MONTH(C505)&lt;=9),3,4))))</f>
        <v>3</v>
      </c>
      <c r="D506" s="48"/>
      <c r="E506" s="22" t="s">
        <v>37</v>
      </c>
      <c r="F506" s="21"/>
    </row>
    <row r="507" spans="1:6" ht="16.5" thickBot="1" x14ac:dyDescent="0.3">
      <c r="A507" s="37"/>
      <c r="B507" s="37"/>
      <c r="C507" s="37"/>
      <c r="D507" s="37"/>
      <c r="E507" s="37"/>
      <c r="F507" s="37"/>
    </row>
    <row r="508" spans="1:6" ht="16.5" thickBot="1" x14ac:dyDescent="0.3">
      <c r="A508" s="28" t="s">
        <v>38</v>
      </c>
      <c r="B508" s="28" t="s">
        <v>39</v>
      </c>
      <c r="C508" s="28" t="s">
        <v>40</v>
      </c>
      <c r="D508" s="28" t="s">
        <v>41</v>
      </c>
      <c r="E508" s="28" t="s">
        <v>42</v>
      </c>
      <c r="F508" s="28" t="s">
        <v>43</v>
      </c>
    </row>
    <row r="509" spans="1:6" ht="15.75" x14ac:dyDescent="0.25">
      <c r="A509" s="29">
        <v>43211711</v>
      </c>
      <c r="B509" s="30" t="str">
        <f ca="1">IFERROR(INDEX(UNSPSCDes,MATCH(INDIRECT(ADDRESS(ROW(),COLUMN()-1,4)),UNSPSCCode,0)),"")</f>
        <v>Escáneres</v>
      </c>
      <c r="C509" s="29" t="s">
        <v>72</v>
      </c>
      <c r="D509" s="29">
        <v>2</v>
      </c>
      <c r="E509" s="32">
        <v>550000</v>
      </c>
      <c r="F509" s="33">
        <f ca="1">INDIRECT(ADDRESS(ROW(),COLUMN()-2,4))*INDIRECT(ADDRESS(ROW(),COLUMN()-1,4))</f>
        <v>1100000</v>
      </c>
    </row>
    <row r="510" spans="1:6" ht="15.75" x14ac:dyDescent="0.25">
      <c r="A510" s="37"/>
      <c r="B510" s="37"/>
      <c r="C510" s="37"/>
      <c r="D510" s="37"/>
      <c r="E510" s="34" t="s">
        <v>46</v>
      </c>
      <c r="F510" s="35">
        <f ca="1">SUM(Table338[MONTO TOTAL ESTIMADO])</f>
        <v>1100000</v>
      </c>
    </row>
    <row r="511" spans="1:6" ht="16.5" thickBot="1" x14ac:dyDescent="0.3">
      <c r="A511" s="19"/>
      <c r="B511" s="19"/>
      <c r="C511" s="19"/>
      <c r="D511" s="19"/>
      <c r="E511" s="19"/>
      <c r="F511" s="19"/>
    </row>
    <row r="512" spans="1:6" ht="32.25" thickBot="1" x14ac:dyDescent="0.3">
      <c r="A512" s="20" t="s">
        <v>18</v>
      </c>
      <c r="B512" s="20" t="s">
        <v>19</v>
      </c>
      <c r="C512" s="20" t="s">
        <v>20</v>
      </c>
      <c r="D512" s="20" t="s">
        <v>21</v>
      </c>
      <c r="E512" s="20" t="s">
        <v>22</v>
      </c>
      <c r="F512" s="20" t="s">
        <v>23</v>
      </c>
    </row>
    <row r="513" spans="1:6" ht="16.5" thickBot="1" x14ac:dyDescent="0.3">
      <c r="A513" s="21" t="s">
        <v>153</v>
      </c>
      <c r="B513" s="21" t="s">
        <v>154</v>
      </c>
      <c r="C513" s="21" t="s">
        <v>26</v>
      </c>
      <c r="D513" s="21" t="s">
        <v>57</v>
      </c>
      <c r="E513" s="21" t="s">
        <v>107</v>
      </c>
      <c r="F513" s="21"/>
    </row>
    <row r="514" spans="1:6" ht="16.5" thickBot="1" x14ac:dyDescent="0.3">
      <c r="A514" s="47" t="s">
        <v>29</v>
      </c>
      <c r="B514" s="22" t="s">
        <v>30</v>
      </c>
      <c r="C514" s="36">
        <v>45240</v>
      </c>
      <c r="D514" s="47" t="s">
        <v>31</v>
      </c>
      <c r="E514" s="22" t="s">
        <v>32</v>
      </c>
      <c r="F514" s="21"/>
    </row>
    <row r="515" spans="1:6" ht="16.5" thickBot="1" x14ac:dyDescent="0.3">
      <c r="A515" s="48"/>
      <c r="B515" s="22" t="s">
        <v>33</v>
      </c>
      <c r="C515" s="26">
        <f>IF(C514="","",IF(AND(MONTH(C514)&gt;=1,MONTH(C514)&lt;=3),1,IF(AND(MONTH(C514)&gt;=4,MONTH(C514)&lt;=6),2,IF(AND(MONTH(C514)&gt;=7,MONTH(C514)&lt;=9),3,4))))</f>
        <v>4</v>
      </c>
      <c r="D515" s="48"/>
      <c r="E515" s="22" t="s">
        <v>34</v>
      </c>
      <c r="F515" s="21"/>
    </row>
    <row r="516" spans="1:6" ht="16.5" thickBot="1" x14ac:dyDescent="0.3">
      <c r="A516" s="48"/>
      <c r="B516" s="22" t="s">
        <v>35</v>
      </c>
      <c r="C516" s="36">
        <v>45244</v>
      </c>
      <c r="D516" s="48"/>
      <c r="E516" s="22" t="s">
        <v>36</v>
      </c>
      <c r="F516" s="21"/>
    </row>
    <row r="517" spans="1:6" ht="16.5" thickBot="1" x14ac:dyDescent="0.3">
      <c r="A517" s="48"/>
      <c r="B517" s="22" t="s">
        <v>33</v>
      </c>
      <c r="C517" s="26">
        <f>IF(C516="","",IF(AND(MONTH(C516)&gt;=1,MONTH(C516)&lt;=3),1,IF(AND(MONTH(C516)&gt;=4,MONTH(C516)&lt;=6),2,IF(AND(MONTH(C516)&gt;=7,MONTH(C516)&lt;=9),3,4))))</f>
        <v>4</v>
      </c>
      <c r="D517" s="48"/>
      <c r="E517" s="22" t="s">
        <v>37</v>
      </c>
      <c r="F517" s="21"/>
    </row>
    <row r="518" spans="1:6" ht="16.5" thickBot="1" x14ac:dyDescent="0.3">
      <c r="A518" s="37"/>
      <c r="B518" s="37"/>
      <c r="C518" s="37"/>
      <c r="D518" s="37"/>
      <c r="E518" s="37"/>
      <c r="F518" s="37"/>
    </row>
    <row r="519" spans="1:6" ht="16.5" thickBot="1" x14ac:dyDescent="0.3">
      <c r="A519" s="28" t="s">
        <v>38</v>
      </c>
      <c r="B519" s="28" t="s">
        <v>39</v>
      </c>
      <c r="C519" s="28" t="s">
        <v>40</v>
      </c>
      <c r="D519" s="28" t="s">
        <v>41</v>
      </c>
      <c r="E519" s="28" t="s">
        <v>42</v>
      </c>
      <c r="F519" s="28" t="s">
        <v>43</v>
      </c>
    </row>
    <row r="520" spans="1:6" ht="15.75" x14ac:dyDescent="0.25">
      <c r="A520" s="29">
        <v>43211711</v>
      </c>
      <c r="B520" s="30" t="str">
        <f ca="1">IFERROR(INDEX(UNSPSCDes,MATCH(INDIRECT(ADDRESS(ROW(),COLUMN()-1,4)),UNSPSCCode,0)),"")</f>
        <v>Escáneres</v>
      </c>
      <c r="C520" s="29" t="s">
        <v>72</v>
      </c>
      <c r="D520" s="29">
        <v>2</v>
      </c>
      <c r="E520" s="32">
        <v>550000</v>
      </c>
      <c r="F520" s="33">
        <f ca="1">INDIRECT(ADDRESS(ROW(),COLUMN()-2,4))*INDIRECT(ADDRESS(ROW(),COLUMN()-1,4))</f>
        <v>1100000</v>
      </c>
    </row>
    <row r="521" spans="1:6" ht="15.75" x14ac:dyDescent="0.25">
      <c r="A521" s="37"/>
      <c r="B521" s="37"/>
      <c r="C521" s="37"/>
      <c r="D521" s="37"/>
      <c r="E521" s="34" t="s">
        <v>46</v>
      </c>
      <c r="F521" s="35">
        <f ca="1">SUM(Table339[MONTO TOTAL ESTIMADO])</f>
        <v>1100000</v>
      </c>
    </row>
    <row r="522" spans="1:6" ht="16.5" thickBot="1" x14ac:dyDescent="0.3">
      <c r="A522" s="19"/>
      <c r="B522" s="19"/>
      <c r="C522" s="19"/>
      <c r="D522" s="19"/>
      <c r="E522" s="19"/>
      <c r="F522" s="19"/>
    </row>
    <row r="523" spans="1:6" ht="32.25" thickBot="1" x14ac:dyDescent="0.3">
      <c r="A523" s="20" t="s">
        <v>18</v>
      </c>
      <c r="B523" s="20" t="s">
        <v>19</v>
      </c>
      <c r="C523" s="20" t="s">
        <v>20</v>
      </c>
      <c r="D523" s="20" t="s">
        <v>21</v>
      </c>
      <c r="E523" s="20" t="s">
        <v>22</v>
      </c>
      <c r="F523" s="20" t="s">
        <v>23</v>
      </c>
    </row>
    <row r="524" spans="1:6" ht="16.5" thickBot="1" x14ac:dyDescent="0.3">
      <c r="A524" s="21" t="s">
        <v>155</v>
      </c>
      <c r="B524" s="21" t="s">
        <v>144</v>
      </c>
      <c r="C524" s="21" t="s">
        <v>26</v>
      </c>
      <c r="D524" s="21" t="s">
        <v>27</v>
      </c>
      <c r="E524" s="21" t="s">
        <v>107</v>
      </c>
      <c r="F524" s="21"/>
    </row>
    <row r="525" spans="1:6" ht="16.5" thickBot="1" x14ac:dyDescent="0.3">
      <c r="A525" s="47" t="s">
        <v>29</v>
      </c>
      <c r="B525" s="22" t="s">
        <v>30</v>
      </c>
      <c r="C525" s="36">
        <v>45148</v>
      </c>
      <c r="D525" s="47" t="s">
        <v>31</v>
      </c>
      <c r="E525" s="22" t="s">
        <v>32</v>
      </c>
      <c r="F525" s="21"/>
    </row>
    <row r="526" spans="1:6" ht="16.5" thickBot="1" x14ac:dyDescent="0.3">
      <c r="A526" s="48"/>
      <c r="B526" s="22" t="s">
        <v>33</v>
      </c>
      <c r="C526" s="26">
        <f>IF(C525="","",IF(AND(MONTH(C525)&gt;=1,MONTH(C525)&lt;=3),1,IF(AND(MONTH(C525)&gt;=4,MONTH(C525)&lt;=6),2,IF(AND(MONTH(C525)&gt;=7,MONTH(C525)&lt;=9),3,4))))</f>
        <v>3</v>
      </c>
      <c r="D526" s="48"/>
      <c r="E526" s="22" t="s">
        <v>34</v>
      </c>
      <c r="F526" s="21"/>
    </row>
    <row r="527" spans="1:6" ht="16.5" thickBot="1" x14ac:dyDescent="0.3">
      <c r="A527" s="48"/>
      <c r="B527" s="22" t="s">
        <v>35</v>
      </c>
      <c r="C527" s="36">
        <v>45149</v>
      </c>
      <c r="D527" s="48"/>
      <c r="E527" s="22" t="s">
        <v>36</v>
      </c>
      <c r="F527" s="21"/>
    </row>
    <row r="528" spans="1:6" ht="16.5" thickBot="1" x14ac:dyDescent="0.3">
      <c r="A528" s="48"/>
      <c r="B528" s="22" t="s">
        <v>33</v>
      </c>
      <c r="C528" s="26">
        <f>IF(C527="","",IF(AND(MONTH(C527)&gt;=1,MONTH(C527)&lt;=3),1,IF(AND(MONTH(C527)&gt;=4,MONTH(C527)&lt;=6),2,IF(AND(MONTH(C527)&gt;=7,MONTH(C527)&lt;=9),3,4))))</f>
        <v>3</v>
      </c>
      <c r="D528" s="48"/>
      <c r="E528" s="22" t="s">
        <v>37</v>
      </c>
      <c r="F528" s="21"/>
    </row>
    <row r="529" spans="1:6" ht="16.5" thickBot="1" x14ac:dyDescent="0.3">
      <c r="A529" s="37"/>
      <c r="B529" s="37"/>
      <c r="C529" s="37"/>
      <c r="D529" s="37"/>
      <c r="E529" s="37"/>
      <c r="F529" s="37"/>
    </row>
    <row r="530" spans="1:6" ht="16.5" thickBot="1" x14ac:dyDescent="0.3">
      <c r="A530" s="28" t="s">
        <v>38</v>
      </c>
      <c r="B530" s="28" t="s">
        <v>39</v>
      </c>
      <c r="C530" s="28" t="s">
        <v>40</v>
      </c>
      <c r="D530" s="28" t="s">
        <v>41</v>
      </c>
      <c r="E530" s="28" t="s">
        <v>42</v>
      </c>
      <c r="F530" s="28" t="s">
        <v>43</v>
      </c>
    </row>
    <row r="531" spans="1:6" ht="15.75" x14ac:dyDescent="0.25">
      <c r="A531" s="29">
        <v>41101806</v>
      </c>
      <c r="B531" s="30" t="str">
        <f ca="1">IFERROR(INDEX(UNSPSCDes,MATCH(INDIRECT(ADDRESS(ROW(),COLUMN()-1,4)),UNSPSCCode,0)),"")</f>
        <v>Magnetómetros</v>
      </c>
      <c r="C531" s="29" t="s">
        <v>72</v>
      </c>
      <c r="D531" s="29">
        <v>1</v>
      </c>
      <c r="E531" s="32">
        <v>150000</v>
      </c>
      <c r="F531" s="33">
        <f ca="1">INDIRECT(ADDRESS(ROW(),COLUMN()-2,4))*INDIRECT(ADDRESS(ROW(),COLUMN()-1,4))</f>
        <v>150000</v>
      </c>
    </row>
    <row r="532" spans="1:6" ht="15.75" x14ac:dyDescent="0.25">
      <c r="A532" s="37"/>
      <c r="B532" s="37"/>
      <c r="C532" s="37"/>
      <c r="D532" s="37"/>
      <c r="E532" s="34" t="s">
        <v>46</v>
      </c>
      <c r="F532" s="35">
        <f ca="1">SUM(Table341[MONTO TOTAL ESTIMADO])</f>
        <v>150000</v>
      </c>
    </row>
    <row r="533" spans="1:6" ht="16.5" thickBot="1" x14ac:dyDescent="0.3">
      <c r="A533" s="19"/>
      <c r="B533" s="19"/>
      <c r="C533" s="19"/>
      <c r="D533" s="19"/>
      <c r="E533" s="19"/>
      <c r="F533" s="19"/>
    </row>
    <row r="534" spans="1:6" ht="32.25" thickBot="1" x14ac:dyDescent="0.3">
      <c r="A534" s="20" t="s">
        <v>18</v>
      </c>
      <c r="B534" s="20" t="s">
        <v>19</v>
      </c>
      <c r="C534" s="20" t="s">
        <v>20</v>
      </c>
      <c r="D534" s="20" t="s">
        <v>21</v>
      </c>
      <c r="E534" s="20" t="s">
        <v>22</v>
      </c>
      <c r="F534" s="20" t="s">
        <v>23</v>
      </c>
    </row>
    <row r="535" spans="1:6" ht="16.5" thickBot="1" x14ac:dyDescent="0.3">
      <c r="A535" s="21" t="s">
        <v>156</v>
      </c>
      <c r="B535" s="21" t="s">
        <v>142</v>
      </c>
      <c r="C535" s="21" t="s">
        <v>26</v>
      </c>
      <c r="D535" s="21" t="s">
        <v>57</v>
      </c>
      <c r="E535" s="21" t="s">
        <v>107</v>
      </c>
      <c r="F535" s="21"/>
    </row>
    <row r="536" spans="1:6" ht="16.5" thickBot="1" x14ac:dyDescent="0.3">
      <c r="A536" s="47" t="s">
        <v>29</v>
      </c>
      <c r="B536" s="22" t="s">
        <v>30</v>
      </c>
      <c r="C536" s="36">
        <v>45180</v>
      </c>
      <c r="D536" s="47" t="s">
        <v>31</v>
      </c>
      <c r="E536" s="22" t="s">
        <v>32</v>
      </c>
      <c r="F536" s="21"/>
    </row>
    <row r="537" spans="1:6" ht="16.5" thickBot="1" x14ac:dyDescent="0.3">
      <c r="A537" s="48"/>
      <c r="B537" s="22" t="s">
        <v>33</v>
      </c>
      <c r="C537" s="26">
        <f>IF(C536="","",IF(AND(MONTH(C536)&gt;=1,MONTH(C536)&lt;=3),1,IF(AND(MONTH(C536)&gt;=4,MONTH(C536)&lt;=6),2,IF(AND(MONTH(C536)&gt;=7,MONTH(C536)&lt;=9),3,4))))</f>
        <v>3</v>
      </c>
      <c r="D537" s="48"/>
      <c r="E537" s="22" t="s">
        <v>34</v>
      </c>
      <c r="F537" s="21"/>
    </row>
    <row r="538" spans="1:6" ht="16.5" thickBot="1" x14ac:dyDescent="0.3">
      <c r="A538" s="48"/>
      <c r="B538" s="22" t="s">
        <v>35</v>
      </c>
      <c r="C538" s="36">
        <v>45184</v>
      </c>
      <c r="D538" s="48"/>
      <c r="E538" s="22" t="s">
        <v>36</v>
      </c>
      <c r="F538" s="21"/>
    </row>
    <row r="539" spans="1:6" ht="16.5" thickBot="1" x14ac:dyDescent="0.3">
      <c r="A539" s="48"/>
      <c r="B539" s="22" t="s">
        <v>33</v>
      </c>
      <c r="C539" s="26">
        <f>IF(C538="","",IF(AND(MONTH(C538)&gt;=1,MONTH(C538)&lt;=3),1,IF(AND(MONTH(C538)&gt;=4,MONTH(C538)&lt;=6),2,IF(AND(MONTH(C538)&gt;=7,MONTH(C538)&lt;=9),3,4))))</f>
        <v>3</v>
      </c>
      <c r="D539" s="48"/>
      <c r="E539" s="22" t="s">
        <v>37</v>
      </c>
      <c r="F539" s="21"/>
    </row>
    <row r="540" spans="1:6" ht="16.5" thickBot="1" x14ac:dyDescent="0.3">
      <c r="A540" s="37"/>
      <c r="B540" s="37"/>
      <c r="C540" s="37"/>
      <c r="D540" s="37"/>
      <c r="E540" s="37"/>
      <c r="F540" s="37"/>
    </row>
    <row r="541" spans="1:6" ht="16.5" thickBot="1" x14ac:dyDescent="0.3">
      <c r="A541" s="28" t="s">
        <v>38</v>
      </c>
      <c r="B541" s="28" t="s">
        <v>39</v>
      </c>
      <c r="C541" s="28" t="s">
        <v>40</v>
      </c>
      <c r="D541" s="28" t="s">
        <v>41</v>
      </c>
      <c r="E541" s="28" t="s">
        <v>42</v>
      </c>
      <c r="F541" s="28" t="s">
        <v>43</v>
      </c>
    </row>
    <row r="542" spans="1:6" ht="15.75" x14ac:dyDescent="0.25">
      <c r="A542" s="29">
        <v>43211507</v>
      </c>
      <c r="B542" s="30" t="str">
        <f ca="1">IFERROR(INDEX(UNSPSCDes,MATCH(INDIRECT(ADDRESS(ROW(),COLUMN()-1,4)),UNSPSCCode,0)),"")</f>
        <v>Computadores de escritorio</v>
      </c>
      <c r="C542" s="29" t="s">
        <v>72</v>
      </c>
      <c r="D542" s="29">
        <v>6</v>
      </c>
      <c r="E542" s="32">
        <v>80000</v>
      </c>
      <c r="F542" s="33">
        <f ca="1">INDIRECT(ADDRESS(ROW(),COLUMN()-2,4))*INDIRECT(ADDRESS(ROW(),COLUMN()-1,4))</f>
        <v>480000</v>
      </c>
    </row>
    <row r="543" spans="1:6" ht="15.75" x14ac:dyDescent="0.25">
      <c r="A543" s="29">
        <v>43211507</v>
      </c>
      <c r="B543" s="30" t="str">
        <f ca="1">IFERROR(INDEX(UNSPSCDes,MATCH(INDIRECT(ADDRESS(ROW(),COLUMN()-1,4)),UNSPSCCode,0)),"")</f>
        <v>Computadores de escritorio</v>
      </c>
      <c r="C543" s="29" t="s">
        <v>72</v>
      </c>
      <c r="D543" s="29">
        <v>1</v>
      </c>
      <c r="E543" s="32">
        <v>60000</v>
      </c>
      <c r="F543" s="33">
        <f ca="1">INDIRECT(ADDRESS(ROW(),COLUMN()-2,4))*INDIRECT(ADDRESS(ROW(),COLUMN()-1,4))</f>
        <v>60000</v>
      </c>
    </row>
    <row r="544" spans="1:6" ht="15.75" x14ac:dyDescent="0.25">
      <c r="A544" s="29">
        <v>26111701</v>
      </c>
      <c r="B544" s="30" t="str">
        <f ca="1">IFERROR(INDEX(UNSPSCDes,MATCH(INDIRECT(ADDRESS(ROW(),COLUMN()-1,4)),UNSPSCCode,0)),"")</f>
        <v>Baterías recargables</v>
      </c>
      <c r="C544" s="29" t="s">
        <v>72</v>
      </c>
      <c r="D544" s="29">
        <v>5</v>
      </c>
      <c r="E544" s="32">
        <v>5000</v>
      </c>
      <c r="F544" s="33">
        <f ca="1">INDIRECT(ADDRESS(ROW(),COLUMN()-2,4))*INDIRECT(ADDRESS(ROW(),COLUMN()-1,4))</f>
        <v>25000</v>
      </c>
    </row>
    <row r="545" spans="1:6" ht="15.75" x14ac:dyDescent="0.25">
      <c r="A545" s="37"/>
      <c r="B545" s="37"/>
      <c r="C545" s="37"/>
      <c r="D545" s="37"/>
      <c r="E545" s="34" t="s">
        <v>46</v>
      </c>
      <c r="F545" s="35">
        <f ca="1">SUM(Table342[MONTO TOTAL ESTIMADO])</f>
        <v>565000</v>
      </c>
    </row>
    <row r="546" spans="1:6" ht="16.5" thickBot="1" x14ac:dyDescent="0.3">
      <c r="A546" s="19"/>
      <c r="B546" s="19"/>
      <c r="C546" s="19"/>
      <c r="D546" s="19"/>
      <c r="E546" s="19"/>
      <c r="F546" s="19"/>
    </row>
    <row r="547" spans="1:6" ht="32.25" thickBot="1" x14ac:dyDescent="0.3">
      <c r="A547" s="20" t="s">
        <v>18</v>
      </c>
      <c r="B547" s="20" t="s">
        <v>19</v>
      </c>
      <c r="C547" s="20" t="s">
        <v>20</v>
      </c>
      <c r="D547" s="20" t="s">
        <v>21</v>
      </c>
      <c r="E547" s="20" t="s">
        <v>22</v>
      </c>
      <c r="F547" s="20" t="s">
        <v>23</v>
      </c>
    </row>
    <row r="548" spans="1:6" ht="16.5" thickBot="1" x14ac:dyDescent="0.3">
      <c r="A548" s="21" t="s">
        <v>157</v>
      </c>
      <c r="B548" s="21" t="s">
        <v>142</v>
      </c>
      <c r="C548" s="21" t="s">
        <v>106</v>
      </c>
      <c r="D548" s="21" t="s">
        <v>57</v>
      </c>
      <c r="E548" s="21" t="s">
        <v>107</v>
      </c>
      <c r="F548" s="21"/>
    </row>
    <row r="549" spans="1:6" ht="16.5" thickBot="1" x14ac:dyDescent="0.3">
      <c r="A549" s="47" t="s">
        <v>29</v>
      </c>
      <c r="B549" s="22" t="s">
        <v>30</v>
      </c>
      <c r="C549" s="36">
        <v>45028</v>
      </c>
      <c r="D549" s="47" t="s">
        <v>31</v>
      </c>
      <c r="E549" s="22" t="s">
        <v>32</v>
      </c>
      <c r="F549" s="21"/>
    </row>
    <row r="550" spans="1:6" ht="16.5" thickBot="1" x14ac:dyDescent="0.3">
      <c r="A550" s="48"/>
      <c r="B550" s="22" t="s">
        <v>33</v>
      </c>
      <c r="C550" s="26">
        <f>IF(C549="","",IF(AND(MONTH(C549)&gt;=1,MONTH(C549)&lt;=3),1,IF(AND(MONTH(C549)&gt;=4,MONTH(C549)&lt;=6),2,IF(AND(MONTH(C549)&gt;=7,MONTH(C549)&lt;=9),3,4))))</f>
        <v>2</v>
      </c>
      <c r="D550" s="48"/>
      <c r="E550" s="22" t="s">
        <v>34</v>
      </c>
      <c r="F550" s="21"/>
    </row>
    <row r="551" spans="1:6" ht="16.5" thickBot="1" x14ac:dyDescent="0.3">
      <c r="A551" s="48"/>
      <c r="B551" s="22" t="s">
        <v>35</v>
      </c>
      <c r="C551" s="36">
        <v>45033</v>
      </c>
      <c r="D551" s="48"/>
      <c r="E551" s="22" t="s">
        <v>36</v>
      </c>
      <c r="F551" s="21"/>
    </row>
    <row r="552" spans="1:6" ht="16.5" thickBot="1" x14ac:dyDescent="0.3">
      <c r="A552" s="48"/>
      <c r="B552" s="22" t="s">
        <v>33</v>
      </c>
      <c r="C552" s="26">
        <f>IF(C551="","",IF(AND(MONTH(C551)&gt;=1,MONTH(C551)&lt;=3),1,IF(AND(MONTH(C551)&gt;=4,MONTH(C551)&lt;=6),2,IF(AND(MONTH(C551)&gt;=7,MONTH(C551)&lt;=9),3,4))))</f>
        <v>2</v>
      </c>
      <c r="D552" s="48"/>
      <c r="E552" s="22" t="s">
        <v>37</v>
      </c>
      <c r="F552" s="21"/>
    </row>
    <row r="553" spans="1:6" ht="16.5" thickBot="1" x14ac:dyDescent="0.3">
      <c r="A553" s="37"/>
      <c r="B553" s="37"/>
      <c r="C553" s="37"/>
      <c r="D553" s="37"/>
      <c r="E553" s="37"/>
      <c r="F553" s="37"/>
    </row>
    <row r="554" spans="1:6" ht="16.5" thickBot="1" x14ac:dyDescent="0.3">
      <c r="A554" s="28" t="s">
        <v>38</v>
      </c>
      <c r="B554" s="28" t="s">
        <v>39</v>
      </c>
      <c r="C554" s="28" t="s">
        <v>40</v>
      </c>
      <c r="D554" s="28" t="s">
        <v>41</v>
      </c>
      <c r="E554" s="28" t="s">
        <v>42</v>
      </c>
      <c r="F554" s="28" t="s">
        <v>43</v>
      </c>
    </row>
    <row r="555" spans="1:6" ht="15.75" x14ac:dyDescent="0.25">
      <c r="A555" s="29">
        <v>90111503</v>
      </c>
      <c r="B555" s="30" t="str">
        <f ca="1">IFERROR(INDEX(UNSPSCDes,MATCH(INDIRECT(ADDRESS(ROW(),COLUMN()-1,4)),UNSPSCCode,0)),"")</f>
        <v>Hospedajes de cama y desayuno</v>
      </c>
      <c r="C555" s="29" t="s">
        <v>72</v>
      </c>
      <c r="D555" s="29">
        <v>1</v>
      </c>
      <c r="E555" s="32">
        <v>400000</v>
      </c>
      <c r="F555" s="33">
        <f ca="1">INDIRECT(ADDRESS(ROW(),COLUMN()-2,4))*INDIRECT(ADDRESS(ROW(),COLUMN()-1,4))</f>
        <v>400000</v>
      </c>
    </row>
    <row r="556" spans="1:6" ht="15.75" x14ac:dyDescent="0.25">
      <c r="A556" s="37"/>
      <c r="B556" s="37"/>
      <c r="C556" s="37"/>
      <c r="D556" s="37"/>
      <c r="E556" s="34" t="s">
        <v>46</v>
      </c>
      <c r="F556" s="35">
        <f ca="1">SUM(Table343[MONTO TOTAL ESTIMADO])</f>
        <v>400000</v>
      </c>
    </row>
    <row r="557" spans="1:6" ht="15.75" x14ac:dyDescent="0.25">
      <c r="A557" s="37"/>
      <c r="B557" s="37"/>
      <c r="C557" s="37"/>
      <c r="D557" s="37"/>
      <c r="E557" s="37"/>
      <c r="F557" s="37"/>
    </row>
    <row r="558" spans="1:6" ht="15.75" x14ac:dyDescent="0.25">
      <c r="A558" s="37"/>
      <c r="B558" s="37"/>
      <c r="C558" s="37"/>
      <c r="D558" s="37"/>
      <c r="E558" s="37"/>
      <c r="F558" s="37"/>
    </row>
    <row r="559" spans="1:6" ht="15.75" x14ac:dyDescent="0.25">
      <c r="A559" s="49" t="s">
        <v>158</v>
      </c>
      <c r="B559" s="49"/>
      <c r="C559" s="49"/>
      <c r="D559" s="49"/>
      <c r="E559" s="37"/>
      <c r="F559" s="37"/>
    </row>
    <row r="560" spans="1:6" ht="15.75" x14ac:dyDescent="0.25">
      <c r="A560" s="37"/>
      <c r="B560" s="37"/>
      <c r="C560" s="37"/>
      <c r="D560" s="37"/>
      <c r="E560" s="37"/>
      <c r="F560" s="37"/>
    </row>
    <row r="561" spans="1:6" ht="15.75" x14ac:dyDescent="0.25">
      <c r="A561" s="37"/>
      <c r="B561" s="37"/>
      <c r="C561" s="37"/>
      <c r="D561" s="37"/>
      <c r="E561" s="37"/>
      <c r="F561" s="37"/>
    </row>
    <row r="562" spans="1:6" ht="15.75" x14ac:dyDescent="0.25">
      <c r="A562" s="37"/>
      <c r="B562" s="37"/>
      <c r="C562" s="37"/>
      <c r="D562" s="37"/>
      <c r="E562" s="37"/>
      <c r="F562" s="37"/>
    </row>
    <row r="563" spans="1:6" ht="15.75" x14ac:dyDescent="0.25">
      <c r="A563" s="37"/>
      <c r="B563" s="37"/>
      <c r="C563" s="37"/>
      <c r="D563" s="37"/>
      <c r="E563" s="37"/>
      <c r="F563" s="37"/>
    </row>
    <row r="564" spans="1:6" ht="15.75" x14ac:dyDescent="0.25">
      <c r="A564" s="49" t="s">
        <v>159</v>
      </c>
      <c r="B564" s="49"/>
      <c r="C564" s="49"/>
      <c r="D564" s="49"/>
      <c r="E564" s="37"/>
      <c r="F564" s="37"/>
    </row>
  </sheetData>
  <protectedRanges>
    <protectedRange sqref="F5" name="Rango3"/>
    <protectedRange sqref="E11:E12" name="Rango2"/>
  </protectedRanges>
  <mergeCells count="84">
    <mergeCell ref="A564:D564"/>
    <mergeCell ref="A503:A506"/>
    <mergeCell ref="D503:D506"/>
    <mergeCell ref="A514:A517"/>
    <mergeCell ref="D514:D517"/>
    <mergeCell ref="A525:A528"/>
    <mergeCell ref="D525:D528"/>
    <mergeCell ref="A536:A539"/>
    <mergeCell ref="D536:D539"/>
    <mergeCell ref="A549:A552"/>
    <mergeCell ref="D549:D552"/>
    <mergeCell ref="A559:D559"/>
    <mergeCell ref="A469:A472"/>
    <mergeCell ref="D469:D472"/>
    <mergeCell ref="A481:A484"/>
    <mergeCell ref="D481:D484"/>
    <mergeCell ref="A492:A495"/>
    <mergeCell ref="D492:D495"/>
    <mergeCell ref="A436:A439"/>
    <mergeCell ref="D436:D439"/>
    <mergeCell ref="A447:A450"/>
    <mergeCell ref="D447:D450"/>
    <mergeCell ref="A458:A461"/>
    <mergeCell ref="D458:D461"/>
    <mergeCell ref="A403:A406"/>
    <mergeCell ref="D403:D406"/>
    <mergeCell ref="A414:A417"/>
    <mergeCell ref="D414:D417"/>
    <mergeCell ref="A425:A428"/>
    <mergeCell ref="D425:D428"/>
    <mergeCell ref="A370:A373"/>
    <mergeCell ref="D370:D373"/>
    <mergeCell ref="A381:A384"/>
    <mergeCell ref="D381:D384"/>
    <mergeCell ref="A392:A395"/>
    <mergeCell ref="D392:D395"/>
    <mergeCell ref="A335:A338"/>
    <mergeCell ref="D335:D338"/>
    <mergeCell ref="A348:A351"/>
    <mergeCell ref="D348:D351"/>
    <mergeCell ref="A359:A362"/>
    <mergeCell ref="D359:D362"/>
    <mergeCell ref="A300:A303"/>
    <mergeCell ref="D300:D303"/>
    <mergeCell ref="A313:A316"/>
    <mergeCell ref="D313:D316"/>
    <mergeCell ref="A324:A327"/>
    <mergeCell ref="D324:D327"/>
    <mergeCell ref="A247:A250"/>
    <mergeCell ref="D247:D250"/>
    <mergeCell ref="A269:A272"/>
    <mergeCell ref="D269:D272"/>
    <mergeCell ref="A289:A292"/>
    <mergeCell ref="D289:D292"/>
    <mergeCell ref="A166:A169"/>
    <mergeCell ref="D166:D169"/>
    <mergeCell ref="A177:A180"/>
    <mergeCell ref="D177:D180"/>
    <mergeCell ref="A190:A193"/>
    <mergeCell ref="D190:D193"/>
    <mergeCell ref="A114:A117"/>
    <mergeCell ref="D114:D117"/>
    <mergeCell ref="A136:A139"/>
    <mergeCell ref="D136:D139"/>
    <mergeCell ref="A155:A158"/>
    <mergeCell ref="D155:D158"/>
    <mergeCell ref="A29:A32"/>
    <mergeCell ref="D29:D32"/>
    <mergeCell ref="A42:A45"/>
    <mergeCell ref="D42:D45"/>
    <mergeCell ref="A58:A61"/>
    <mergeCell ref="D58:D61"/>
    <mergeCell ref="E9:F9"/>
    <mergeCell ref="E10:F10"/>
    <mergeCell ref="E11:F11"/>
    <mergeCell ref="E12:F12"/>
    <mergeCell ref="A17:A20"/>
    <mergeCell ref="D17:D20"/>
    <mergeCell ref="E8:F8"/>
    <mergeCell ref="A1:A4"/>
    <mergeCell ref="B2:E2"/>
    <mergeCell ref="B3:E3"/>
    <mergeCell ref="E6:F6"/>
    <mergeCell ref="E7:F7"/>
  </mergeCells>
  <dataValidations count="12">
    <dataValidation type="decimal" operator="greaterThan" allowBlank="1" showInputMessage="1" showErrorMessage="1" sqref="D295:E295 D275:E284 D253:E264 D520:E520 D319:E319 D161:E161 D120:E131 D35:E37 D23:E24 D330:E330 D48:E53 D142:E150 D183:E185 D172:E172 D306:E308 D341:E343 D354:E354 D365:E365 D376:E376 D387:E387 D398:E398 D409:E409 D420:E420 D431:E431 D442:E442 D453:E453 D464:E464 D475:E476 D487:E487 D64:E109 D498:E498 D509:E509 D196:E242 D531:E531 D542:E544 D555:E555" xr:uid="{201855C7-C1E0-4C1D-8291-E5998BE587EB}">
      <formula1>0</formula1>
    </dataValidation>
    <dataValidation type="list" allowBlank="1" showInputMessage="1" showErrorMessage="1" sqref="C295 C275:C284 C253:C264 C520 C319 C161 C120:C131 C35:C37 C23:C24 C330 C48:C53 C142:C150 C183:C185 C172 C306:C308 C341:C343 C354 C365 C376 C387 C398 C409 C420 C431 C442 C453 C464 C475:C476 C487 C64:C109 C498 C509 C196:C242 C531 C542:C544 C555" xr:uid="{310AC018-DDCA-4B53-8962-F64D2DCD5185}">
      <formula1>UnidadesList</formula1>
    </dataValidation>
    <dataValidation type="whole" operator="greaterThan" allowBlank="1" showInputMessage="1" showErrorMessage="1" sqref="A295 A275:A284 A253:A264 A520 A319 A161 A120:A131 A35:A37 A23:A24 A330 A48:A53 A142:A150 A183:A185 A172 A306:A308 A341:A343 A354 A365 A376 A387 A398 A409 A420 A431 A442 A453 A464 A475:A476 A487 A64:A109 A498 A509 A196:A242 A531 A542:A544 A555" xr:uid="{EC3242AE-21BE-473B-8560-DE49A2D40634}">
      <formula1>0</formula1>
    </dataValidation>
    <dataValidation type="list" allowBlank="1" showInputMessage="1" showErrorMessage="1" sqref="F20 F292 F272 F250 F193 F180 F169 F158 F139 F117 F61 F45 F32 F303 F316 F327 F338 F351 F362 F373 F384 F395 F406 F417 F428 F439 F450 F461 F472 F484 F495 F506 F517 F528 F539 F552" xr:uid="{CBE6F0C8-F5D3-4B97-9334-521ECE104D09}">
      <formula1>OFFSET(MunicipioStart,MATCH(INDIRECT(ADDRESS(ROW()-1,COLUMN(),4)),MunicipioColumn,0)-1,1,COUNTIF(MunicipioColumn,INDIRECT(ADDRESS(ROW()-1,COLUMN(),4))),1)</formula1>
    </dataValidation>
    <dataValidation type="list" allowBlank="1" showInputMessage="1" showErrorMessage="1" sqref="F19 F291 F271 F249 F192 F179 F168 F157 F138 F116 F60 F44 F31 F302 F315 F326 F337 F350 F361 F372 F383 F394 F405 F416 F427 F438 F449 F460 F471 F483 F494 F505 F516 F527 F538 F551" xr:uid="{F1803D43-582E-4C2B-A722-19A9B9DA6E47}">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290 F270 F248 F191 F178 F167 F156 F137 F115 F59 F43 F30 F301 F314 F325 F336 F349 F360 F371 F382 F393 F404 F415 F426 F437 F448 F459 F470 F482 F493 F504 F515 F526 F537 F550" xr:uid="{50382D7A-33AB-4794-AA21-EC769D23F8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89 F269 F247 F190 F177 F166 F155 F136 F114 F58 F42 F29 F300 F313 F324 F335 F348 F359 F370 F381 F392 F403 F414 F425 F436 F447 F458 F469 F481 F492 F503 F514 F525 F536 F549" xr:uid="{A1A84113-AAE2-4083-91CB-F73EB48F4E43}">
      <formula1>IF(INDIRECT(ADDRESS(ROW()+1,COLUMN(),4))="",RegionList,INDEX(RegionColumn,MATCH(INDIRECT(ADDRESS(ROW()+1,COLUMN(),4)),ProvinciaList,0)))</formula1>
    </dataValidation>
    <dataValidation type="date" operator="greaterThanOrEqual" allowBlank="1" showInputMessage="1" showErrorMessage="1" sqref="C19 C291 C271 C249 C192 C179 C168 C157 C138 C116 C60 C44 C31 C302 C315 C326 C337 C350 C361 C372 C383 C394 C405 C416 C427 C438 C449 C460 C471 C483 C494 C505 C516 C527 C538 C551" xr:uid="{D0306943-9C94-4D32-8F80-8D03767B6728}">
      <formula1>C17</formula1>
    </dataValidation>
    <dataValidation type="date" operator="lessThanOrEqual" allowBlank="1" showInputMessage="1" showErrorMessage="1" sqref="C17 C289 C269 C247 C190 C177 C166 C155 C136 C114 C58 C300 C29 C42 C313 C324 C335 C348 C359 C370 C381 C392 C403 C414 C425 C436 C447 C458 C469 C481 C492 C503 C514 C525 C536 C549" xr:uid="{0488B31B-113F-4494-81B2-F6BA7DFB9F0A}">
      <formula1>C19</formula1>
    </dataValidation>
    <dataValidation operator="greaterThan" allowBlank="1" showInputMessage="1" showErrorMessage="1" sqref="E10:F10" xr:uid="{5046912F-66D2-4025-9196-8319BD3243EA}"/>
    <dataValidation type="date" operator="greaterThan" allowBlank="1" showInputMessage="1" showErrorMessage="1" sqref="E12:F12" xr:uid="{699346AB-0AC1-475A-9C1C-DC6044FAD592}">
      <formula1>36526</formula1>
    </dataValidation>
    <dataValidation type="whole" allowBlank="1" showInputMessage="1" showErrorMessage="1" sqref="E11:F11" xr:uid="{A39EC486-AF12-4743-9977-ED308647632E}">
      <formula1>1900</formula1>
      <formula2>3000</formula2>
    </dataValidation>
  </dataValidations>
  <pageMargins left="0.7" right="0.7" top="0.75" bottom="0.75" header="0.3" footer="0.3"/>
  <pageSetup scale="47" fitToHeight="0" orientation="portrait" r:id="rId1"/>
  <drawing r:id="rId2"/>
  <legacyDrawing r:id="rId3"/>
  <tableParts count="36">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SGN-OAI</dc:creator>
  <cp:lastModifiedBy>SGN-OAI</cp:lastModifiedBy>
  <cp:lastPrinted>2023-02-21T14:20:37Z</cp:lastPrinted>
  <dcterms:created xsi:type="dcterms:W3CDTF">2023-02-21T14:09:29Z</dcterms:created>
  <dcterms:modified xsi:type="dcterms:W3CDTF">2023-02-21T17:58:23Z</dcterms:modified>
</cp:coreProperties>
</file>